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BBIMG\Ablage neue Website\Obst- und Weinbau\Inhalt_3_Ebene_Obstbau\Wirtschaftlichkeitsberechnungen Mostobst\"/>
    </mc:Choice>
  </mc:AlternateContent>
  <workbookProtection workbookAlgorithmName="SHA-512" workbookHashValue="pUmGjbyaoY882zJCmKORcWZzWM9F8QH/c0Y1HK3M4c98fRrVqgZcw9A4El571b2WG5tlgDiDFT5Hc0ZAgFTNXA==" workbookSaltValue="EPQ3no4ZwBWzsDBpN2uZZQ==" workbookSpinCount="100000" lockStructure="1"/>
  <bookViews>
    <workbookView xWindow="0" yWindow="0" windowWidth="23040" windowHeight="8460"/>
  </bookViews>
  <sheets>
    <sheet name="Erstellung" sheetId="1" r:id="rId1"/>
    <sheet name="Aufbauphase" sheetId="2" r:id="rId2"/>
    <sheet name="kalk.Verlust Aufbau" sheetId="3" r:id="rId3"/>
    <sheet name="Ertragsjahr" sheetId="4" r:id="rId4"/>
  </sheets>
  <calcPr calcId="162913"/>
</workbook>
</file>

<file path=xl/calcChain.xml><?xml version="1.0" encoding="utf-8"?>
<calcChain xmlns="http://schemas.openxmlformats.org/spreadsheetml/2006/main">
  <c r="G25" i="4" l="1"/>
  <c r="E69" i="4" l="1"/>
  <c r="E39" i="2"/>
  <c r="E41" i="2"/>
  <c r="G21" i="4"/>
  <c r="D30" i="1"/>
  <c r="F23" i="3"/>
  <c r="E4" i="3"/>
  <c r="G24" i="2"/>
  <c r="G20" i="2"/>
  <c r="E25" i="2"/>
  <c r="G25" i="2" s="1"/>
  <c r="G14" i="2"/>
  <c r="G32" i="4" l="1"/>
  <c r="G23" i="2"/>
  <c r="F24" i="1"/>
  <c r="F9" i="1"/>
  <c r="E38" i="4" l="1"/>
  <c r="G33" i="4"/>
  <c r="G34" i="4"/>
  <c r="G35" i="4"/>
  <c r="G36" i="4"/>
  <c r="G22" i="2"/>
  <c r="D12" i="2"/>
  <c r="G38" i="4" l="1"/>
  <c r="G30" i="4"/>
  <c r="G41" i="4" s="1"/>
  <c r="G17" i="4"/>
  <c r="G14" i="4"/>
  <c r="G12" i="4"/>
  <c r="G13" i="4"/>
  <c r="G15" i="4"/>
  <c r="F19" i="1"/>
  <c r="G13" i="2"/>
  <c r="G10" i="2"/>
  <c r="G9" i="2"/>
  <c r="G8" i="2"/>
  <c r="G5" i="2"/>
  <c r="G6" i="2"/>
  <c r="G7" i="2"/>
  <c r="G11" i="2"/>
  <c r="G4" i="2"/>
  <c r="F17" i="1"/>
  <c r="G21" i="2"/>
  <c r="F12" i="3"/>
  <c r="F18" i="3" s="1"/>
  <c r="F14" i="3"/>
  <c r="F16" i="3"/>
  <c r="G66" i="4"/>
  <c r="G37" i="4"/>
  <c r="F4" i="1"/>
  <c r="G32" i="2"/>
  <c r="G37" i="2"/>
  <c r="G38" i="2"/>
  <c r="F11" i="4"/>
  <c r="G11" i="4" s="1"/>
  <c r="G16" i="4"/>
  <c r="G18" i="4"/>
  <c r="F23" i="4"/>
  <c r="G23" i="4" s="1"/>
  <c r="G20" i="4"/>
  <c r="G52" i="4"/>
  <c r="G5" i="4"/>
  <c r="G7" i="4" s="1"/>
  <c r="G79" i="4" s="1"/>
  <c r="G45" i="4"/>
  <c r="F25" i="1"/>
  <c r="F26" i="1"/>
  <c r="F27" i="1"/>
  <c r="F28" i="1"/>
  <c r="F16" i="1"/>
  <c r="G56" i="4"/>
  <c r="E71" i="4"/>
  <c r="G73" i="4" s="1"/>
  <c r="G57" i="4"/>
  <c r="G58" i="4"/>
  <c r="G59" i="4"/>
  <c r="G60" i="4"/>
  <c r="G61" i="4"/>
  <c r="G62" i="4"/>
  <c r="G63" i="4"/>
  <c r="G64" i="4"/>
  <c r="G65" i="4"/>
  <c r="G67" i="4"/>
  <c r="G68" i="4"/>
  <c r="F6" i="1"/>
  <c r="F14" i="1" s="1"/>
  <c r="F7" i="1"/>
  <c r="F8" i="1"/>
  <c r="F10" i="1"/>
  <c r="G51" i="4"/>
  <c r="G36" i="2"/>
  <c r="G33" i="2"/>
  <c r="G34" i="2"/>
  <c r="G35" i="2"/>
  <c r="G18" i="2"/>
  <c r="G19" i="2"/>
  <c r="A2" i="2"/>
  <c r="A2" i="3" s="1"/>
  <c r="A2" i="4" s="1"/>
  <c r="G31" i="4"/>
  <c r="G29" i="4"/>
  <c r="F29" i="4"/>
  <c r="A6" i="3"/>
  <c r="A4" i="3"/>
  <c r="G17" i="2"/>
  <c r="F17" i="2"/>
  <c r="D17" i="2"/>
  <c r="G28" i="2" l="1"/>
  <c r="F30" i="1"/>
  <c r="F22" i="1"/>
  <c r="G19" i="4"/>
  <c r="G74" i="4"/>
  <c r="G69" i="4"/>
  <c r="G71" i="4" s="1"/>
  <c r="G12" i="2"/>
  <c r="G15" i="2" s="1"/>
  <c r="G39" i="2"/>
  <c r="G41" i="2" s="1"/>
  <c r="F43" i="2" l="1"/>
  <c r="G43" i="2" s="1"/>
  <c r="G47" i="2" s="1"/>
  <c r="G49" i="2" s="1"/>
  <c r="E6" i="3" s="1"/>
  <c r="F6" i="3" s="1"/>
  <c r="F32" i="1"/>
  <c r="F34" i="1" s="1"/>
  <c r="F4" i="3" l="1"/>
  <c r="F8" i="3" s="1"/>
  <c r="F20" i="3" s="1"/>
  <c r="F25" i="3" l="1"/>
  <c r="F9" i="4"/>
  <c r="G9" i="4" s="1"/>
  <c r="G27" i="4" l="1"/>
  <c r="F47" i="4" l="1"/>
  <c r="G47" i="4" s="1"/>
  <c r="G78" i="4" s="1"/>
  <c r="G80" i="4" s="1"/>
  <c r="G49" i="4"/>
  <c r="G54" i="4" s="1"/>
  <c r="G76" i="4" s="1"/>
</calcChain>
</file>

<file path=xl/sharedStrings.xml><?xml version="1.0" encoding="utf-8"?>
<sst xmlns="http://schemas.openxmlformats.org/spreadsheetml/2006/main" count="205" uniqueCount="155">
  <si>
    <t>DG</t>
  </si>
  <si>
    <t>Menge</t>
  </si>
  <si>
    <t>Preis</t>
  </si>
  <si>
    <t>Fr.-/ha</t>
  </si>
  <si>
    <t>Pflanzgut</t>
  </si>
  <si>
    <t>Baumgerüst</t>
  </si>
  <si>
    <t>Stützpfahl je Baum</t>
  </si>
  <si>
    <t>Agraffen</t>
  </si>
  <si>
    <t>Bindematerial</t>
  </si>
  <si>
    <t>Verschiedenes</t>
  </si>
  <si>
    <t>Bodenanalyse</t>
  </si>
  <si>
    <t>Diverses</t>
  </si>
  <si>
    <t xml:space="preserve">Total Direktkosten </t>
  </si>
  <si>
    <t>Maschinen</t>
  </si>
  <si>
    <t>Zugkraft</t>
  </si>
  <si>
    <t>Kleingerät</t>
  </si>
  <si>
    <t>Total Maschinen und Zugkräfte</t>
  </si>
  <si>
    <t>Bodenmiete</t>
  </si>
  <si>
    <t>Arbeiten</t>
  </si>
  <si>
    <t>Bodenprobe</t>
  </si>
  <si>
    <t>Ausmessen</t>
  </si>
  <si>
    <t>Pflanzung</t>
  </si>
  <si>
    <t>Gerüst erstellen</t>
  </si>
  <si>
    <t>Eigener Lohnanspruch</t>
  </si>
  <si>
    <t>Total Strukturkosten</t>
  </si>
  <si>
    <t>Total Erstellungskosten (Anlage ohne Zaun)</t>
  </si>
  <si>
    <t>Aufbauphase 1.-15 Jahr: Jahreskosten</t>
  </si>
  <si>
    <t>Fungizid</t>
  </si>
  <si>
    <t>Delan</t>
  </si>
  <si>
    <t>Insektizid</t>
  </si>
  <si>
    <t>Pirimor</t>
  </si>
  <si>
    <t>Total Pflanzenschutz</t>
  </si>
  <si>
    <t>Total Direktkosten</t>
  </si>
  <si>
    <t>Ausputzen am Stamm</t>
  </si>
  <si>
    <t>Mausen</t>
  </si>
  <si>
    <t>Verlustzeiten</t>
  </si>
  <si>
    <t>10% der aufgelaufenden Arbeiten</t>
  </si>
  <si>
    <t>Total eigener Lohnanspruch</t>
  </si>
  <si>
    <t>Total Zinsanspruch</t>
  </si>
  <si>
    <t>Total Bildung Obstanlagewert / Jahr</t>
  </si>
  <si>
    <t>Bemerkung</t>
  </si>
  <si>
    <t>*Ertrag</t>
  </si>
  <si>
    <t>* Modell Ertragsentwicklung</t>
  </si>
  <si>
    <t>Obstanlagewert / Kalkulatorischer Verlust Aufbauphase</t>
  </si>
  <si>
    <t>Fr.- /ha</t>
  </si>
  <si>
    <t>Subtotal Kosten Aufbauphase</t>
  </si>
  <si>
    <t>abzüglich Leistungen während der Aufbauphase</t>
  </si>
  <si>
    <t>Mostobstertrag</t>
  </si>
  <si>
    <t>Flächenbeitrag Direktzahlungen</t>
  </si>
  <si>
    <t>Obstanlagewert nach 15 Jahren</t>
  </si>
  <si>
    <t>Vollkostenkalkulation Hochstammkultur 1 Hektare</t>
  </si>
  <si>
    <t>Ertragsphase</t>
  </si>
  <si>
    <t>Leistung Mostobst</t>
  </si>
  <si>
    <t>Total Leistung</t>
  </si>
  <si>
    <t>Abschreibung des Bestandes</t>
  </si>
  <si>
    <t>Jahre</t>
  </si>
  <si>
    <t>Vergleichbarer DB</t>
  </si>
  <si>
    <t>Kontroll- und Labelkosten</t>
  </si>
  <si>
    <t>Branchenabgabe Mostobst</t>
  </si>
  <si>
    <t>Zinsanspruch invest. Kapital</t>
  </si>
  <si>
    <t xml:space="preserve">DB   </t>
  </si>
  <si>
    <t>DB (inkl. Beiträge)</t>
  </si>
  <si>
    <t>Sommerschnitt (Formieren, Mehltau)</t>
  </si>
  <si>
    <t>Schnittholz ansammeln + hacken</t>
  </si>
  <si>
    <t>Pflanzenschutz insgesamt</t>
  </si>
  <si>
    <t>Schädlingskontrollen, Feuerbrand</t>
  </si>
  <si>
    <t xml:space="preserve">Schütteln </t>
  </si>
  <si>
    <t>Weiterbildung, Büro, Organisation</t>
  </si>
  <si>
    <t>Akh total</t>
  </si>
  <si>
    <t>davon Verlustzeiten</t>
  </si>
  <si>
    <t>Arbeitsverdienst DB inkl Beiträge/Akh</t>
  </si>
  <si>
    <t>Produktionskosten / ha / Jahr</t>
  </si>
  <si>
    <t>Bildung Pflanzenkapital: Aufbauphase bis Vollertrag 15 Jahre</t>
  </si>
  <si>
    <t>Durchgang</t>
  </si>
  <si>
    <t>Zeit h</t>
  </si>
  <si>
    <t>auf aufgelaufene Direktkosten</t>
  </si>
  <si>
    <t>Subtotal Leistungen Aufbauphase</t>
  </si>
  <si>
    <t>Durchgänge</t>
  </si>
  <si>
    <t xml:space="preserve">Auflesen (mechan./manuell) </t>
  </si>
  <si>
    <t>Restzeiten</t>
  </si>
  <si>
    <t xml:space="preserve">Total Leistungen </t>
  </si>
  <si>
    <t>Gewinn/Verlust nach Kalkulation der eig. Arbeit</t>
  </si>
  <si>
    <t>SSH</t>
  </si>
  <si>
    <t>Andere Gemeinkosten</t>
  </si>
  <si>
    <t>5.-10. Standjahr: 100kg/Baum</t>
  </si>
  <si>
    <t>3.- 5. Standjahr: 30kg/Baum</t>
  </si>
  <si>
    <t>11.-15. Standjahr: 200kg/Baum</t>
  </si>
  <si>
    <t>Mittel: 100kg/Baum</t>
  </si>
  <si>
    <t>Auflesen</t>
  </si>
  <si>
    <t>Abtransport in Mosterei (Mittel 10000kg)</t>
  </si>
  <si>
    <t>Sortierband</t>
  </si>
  <si>
    <t>Sortieren</t>
  </si>
  <si>
    <t xml:space="preserve">Bei verrechnetem Lohnanspruch von </t>
  </si>
  <si>
    <t>pro h</t>
  </si>
  <si>
    <t>Arbeitsstunden Erstellung und Aufbau</t>
  </si>
  <si>
    <t>Akh insgesamt</t>
  </si>
  <si>
    <t xml:space="preserve">Arbeitsverdienst in der Aufbauphase: </t>
  </si>
  <si>
    <t>Fr./h</t>
  </si>
  <si>
    <t xml:space="preserve">Variante: ÖLN mit Mechanisierung, Beitrag 45.-/Baum ÖQV </t>
  </si>
  <si>
    <t xml:space="preserve">Hochstammbeiträge DZV + ÖQV </t>
  </si>
  <si>
    <t>Erstellung der Anlage: 120 Bäume/ha (inkl. Eigener Lohn- und Zinsanspruch)</t>
  </si>
  <si>
    <t>Pflanzlochbohrer</t>
  </si>
  <si>
    <t>Kupfer</t>
  </si>
  <si>
    <t>Captan</t>
  </si>
  <si>
    <t>Schwefel</t>
  </si>
  <si>
    <t>Weissöl</t>
  </si>
  <si>
    <t>Zorro</t>
  </si>
  <si>
    <t>Winterschnitt (alle 3 Jahre, 1h/Baum, +10 h Rüstzeit)</t>
  </si>
  <si>
    <t>Hochstammbeitrag, 45.-/Baum</t>
  </si>
  <si>
    <t>Schlegelmulchgerät</t>
  </si>
  <si>
    <t>Bodenanalyse (alle 5 Jahre)</t>
  </si>
  <si>
    <t>Flächenbeitrag (nur bei Mindesttierbesatz)</t>
  </si>
  <si>
    <t>Kronensicherung</t>
  </si>
  <si>
    <t>Abtransport zur Mosterei (36000kg)</t>
  </si>
  <si>
    <t>Auflesemasch. Selbstfahrend, 1.5t/h</t>
  </si>
  <si>
    <t>Baumschutz</t>
  </si>
  <si>
    <t>Planung und Organisation</t>
  </si>
  <si>
    <t>Mäusevergasungsmaschine</t>
  </si>
  <si>
    <t>Kleingerät und Ersatzbäume (Motorsense, elektrische Baumschere, Motorsäge…)</t>
  </si>
  <si>
    <t>Baumerziehung (Sommer+Winter)</t>
  </si>
  <si>
    <t>Schütteln</t>
  </si>
  <si>
    <t>Allgemeine Unkosten (Bindematerial Kronensicherung…)</t>
  </si>
  <si>
    <t>Akazie nicht imprägniert, 250 lang, Durchmesser  7-10cm</t>
  </si>
  <si>
    <t>Düngung: Nitrotec 26</t>
  </si>
  <si>
    <t>Einzelsackpreis (Landi)</t>
  </si>
  <si>
    <t>Anhänger 1-achsig, 7t, hydraulisch kippbar</t>
  </si>
  <si>
    <t>Stunden</t>
  </si>
  <si>
    <t>Einheit pro Pflanzloch</t>
  </si>
  <si>
    <t>Traktor, 65-74KW (88-101 PS)</t>
  </si>
  <si>
    <t>2 Stunden bohren, 5 Stunden verteilen</t>
  </si>
  <si>
    <t>Bemerkungen</t>
  </si>
  <si>
    <t>Anti-Knabb</t>
  </si>
  <si>
    <t>Lohn gemäss Agroscope Kostenkatalog 2023</t>
  </si>
  <si>
    <t>Pflanzenschutzpreise gemäss Zielsortiment</t>
  </si>
  <si>
    <t>Bodendüngung: Nitrotec 26</t>
  </si>
  <si>
    <t>Blattdünger: Wuxal Profi</t>
  </si>
  <si>
    <t>Preis Maag Profi</t>
  </si>
  <si>
    <t>Anhängergebläsespritze 1000l, ohne Bordcomputer</t>
  </si>
  <si>
    <t>Auflesemaschine 1.5t/h</t>
  </si>
  <si>
    <t>Baumschüttler, hydraulisch angetrieben, Dreipunktanbau</t>
  </si>
  <si>
    <t>Preis für tiefe Auslastung</t>
  </si>
  <si>
    <t>ca. 2 min pro Baum</t>
  </si>
  <si>
    <t>Leistung ist tiefer, da 2.5 t nicht realistisch über alle Erntegänge</t>
  </si>
  <si>
    <t>überbetrieblich einsetzbar</t>
  </si>
  <si>
    <t>brauchts etwa die Hälfte der Erziehungsarbeiten</t>
  </si>
  <si>
    <t>Diverse Arbeiten, siehe Formel</t>
  </si>
  <si>
    <t>Arbeitslift für Hochstammarbeiten</t>
  </si>
  <si>
    <t>pro Schnitt 3 Stunden</t>
  </si>
  <si>
    <t>Äste zusammennehmen und Transport Mosterei (3 Fahrten à 2 Stunden)</t>
  </si>
  <si>
    <t>belassen aus DZV, Konkurrenz mit Gemüsebau langfristig schwierig</t>
  </si>
  <si>
    <t>3 Fahrten à 2 Stunden</t>
  </si>
  <si>
    <t>20 % gewöhnlich Suisse Garantie, 80% Spezial Suisse Garantie</t>
  </si>
  <si>
    <t>Blattdüngung: Wuxal Profi</t>
  </si>
  <si>
    <t>6 Fahrten in Mosterei à 2 h + 8 h Äste zusammennehmen (von 40 bäumen pro Jahr)</t>
  </si>
  <si>
    <t>In Fat nicht ersichtlich, Hofer Miete 20.00.-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</si>
</sst>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6"/>
      <name val="Helvetica"/>
    </font>
    <font>
      <b/>
      <sz val="10"/>
      <name val="Helvetica"/>
      <family val="2"/>
    </font>
    <font>
      <sz val="18"/>
      <name val="Arial"/>
      <family val="2"/>
    </font>
    <font>
      <b/>
      <i/>
      <sz val="10"/>
      <name val="Helvetica"/>
      <family val="2"/>
    </font>
    <font>
      <sz val="10"/>
      <name val="Helvetica"/>
      <family val="2"/>
    </font>
    <font>
      <b/>
      <sz val="10"/>
      <name val="Helvetica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0" fillId="3" borderId="1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2" fontId="0" fillId="3" borderId="4" xfId="0" applyNumberFormat="1" applyFill="1" applyBorder="1"/>
    <xf numFmtId="0" fontId="0" fillId="0" borderId="0" xfId="0" applyFill="1" applyBorder="1"/>
    <xf numFmtId="0" fontId="2" fillId="4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0" fontId="1" fillId="5" borderId="0" xfId="0" applyFont="1" applyFill="1"/>
    <xf numFmtId="2" fontId="1" fillId="5" borderId="0" xfId="0" applyNumberFormat="1" applyFont="1" applyFill="1"/>
    <xf numFmtId="4" fontId="1" fillId="5" borderId="0" xfId="0" applyNumberFormat="1" applyFont="1" applyFill="1"/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9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0" fillId="3" borderId="5" xfId="0" applyFill="1" applyBorder="1"/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" fontId="1" fillId="5" borderId="0" xfId="0" applyNumberFormat="1" applyFont="1" applyFill="1"/>
    <xf numFmtId="1" fontId="0" fillId="0" borderId="0" xfId="0" applyNumberFormat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6" borderId="1" xfId="0" applyFill="1" applyBorder="1"/>
    <xf numFmtId="0" fontId="0" fillId="6" borderId="0" xfId="0" applyFill="1"/>
    <xf numFmtId="1" fontId="0" fillId="6" borderId="0" xfId="0" applyNumberFormat="1" applyFill="1"/>
    <xf numFmtId="0" fontId="3" fillId="5" borderId="0" xfId="0" applyFont="1" applyFill="1"/>
    <xf numFmtId="0" fontId="0" fillId="5" borderId="0" xfId="0" applyFill="1"/>
    <xf numFmtId="4" fontId="0" fillId="0" borderId="0" xfId="0" applyNumberFormat="1" applyFill="1"/>
    <xf numFmtId="4" fontId="0" fillId="6" borderId="0" xfId="0" applyNumberFormat="1" applyFill="1"/>
    <xf numFmtId="0" fontId="4" fillId="0" borderId="0" xfId="0" applyFont="1" applyFill="1"/>
    <xf numFmtId="1" fontId="0" fillId="3" borderId="0" xfId="0" applyNumberFormat="1" applyFill="1"/>
    <xf numFmtId="0" fontId="4" fillId="0" borderId="0" xfId="0" applyFont="1"/>
    <xf numFmtId="4" fontId="4" fillId="0" borderId="0" xfId="0" applyNumberFormat="1" applyFont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0" fontId="2" fillId="3" borderId="0" xfId="0" applyFont="1" applyFill="1" applyBorder="1"/>
    <xf numFmtId="0" fontId="5" fillId="3" borderId="5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6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2" fontId="6" fillId="2" borderId="0" xfId="0" applyNumberFormat="1" applyFont="1" applyFill="1"/>
    <xf numFmtId="0" fontId="7" fillId="7" borderId="0" xfId="0" applyFont="1" applyFill="1"/>
    <xf numFmtId="2" fontId="7" fillId="7" borderId="0" xfId="0" applyNumberFormat="1" applyFont="1" applyFill="1"/>
    <xf numFmtId="4" fontId="7" fillId="7" borderId="0" xfId="0" applyNumberFormat="1" applyFont="1" applyFill="1"/>
    <xf numFmtId="0" fontId="9" fillId="4" borderId="0" xfId="0" applyFont="1" applyFill="1"/>
    <xf numFmtId="2" fontId="9" fillId="4" borderId="0" xfId="0" applyNumberFormat="1" applyFont="1" applyFill="1"/>
    <xf numFmtId="4" fontId="9" fillId="4" borderId="0" xfId="0" applyNumberFormat="1" applyFont="1" applyFill="1"/>
    <xf numFmtId="0" fontId="9" fillId="0" borderId="0" xfId="0" applyFont="1"/>
    <xf numFmtId="1" fontId="7" fillId="7" borderId="0" xfId="0" applyNumberFormat="1" applyFont="1" applyFill="1"/>
    <xf numFmtId="0" fontId="10" fillId="8" borderId="0" xfId="0" applyFont="1" applyFill="1"/>
    <xf numFmtId="4" fontId="10" fillId="8" borderId="0" xfId="0" applyNumberFormat="1" applyFont="1" applyFill="1"/>
    <xf numFmtId="0" fontId="7" fillId="7" borderId="0" xfId="0" applyFont="1" applyFill="1" applyBorder="1" applyAlignment="1">
      <alignment horizontal="center"/>
    </xf>
    <xf numFmtId="0" fontId="9" fillId="3" borderId="0" xfId="0" applyFont="1" applyFill="1"/>
    <xf numFmtId="4" fontId="9" fillId="3" borderId="1" xfId="0" applyNumberFormat="1" applyFont="1" applyFill="1" applyBorder="1"/>
    <xf numFmtId="0" fontId="8" fillId="0" borderId="0" xfId="0" applyFont="1" applyFill="1"/>
    <xf numFmtId="1" fontId="8" fillId="0" borderId="0" xfId="0" applyNumberFormat="1" applyFont="1" applyFill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0" fontId="11" fillId="0" borderId="0" xfId="0" applyFont="1"/>
    <xf numFmtId="0" fontId="0" fillId="9" borderId="0" xfId="0" applyFill="1"/>
    <xf numFmtId="2" fontId="0" fillId="9" borderId="0" xfId="0" applyNumberFormat="1" applyFill="1"/>
    <xf numFmtId="4" fontId="0" fillId="9" borderId="0" xfId="0" applyNumberFormat="1" applyFill="1"/>
    <xf numFmtId="0" fontId="11" fillId="0" borderId="0" xfId="0" applyFont="1" applyFill="1" applyBorder="1"/>
    <xf numFmtId="0" fontId="0" fillId="9" borderId="5" xfId="0" applyFill="1" applyBorder="1"/>
    <xf numFmtId="2" fontId="0" fillId="9" borderId="2" xfId="0" applyNumberFormat="1" applyFill="1" applyBorder="1"/>
    <xf numFmtId="4" fontId="0" fillId="9" borderId="2" xfId="0" applyNumberFormat="1" applyFill="1" applyBorder="1"/>
    <xf numFmtId="0" fontId="0" fillId="0" borderId="1" xfId="0" applyFill="1" applyBorder="1"/>
    <xf numFmtId="10" fontId="0" fillId="9" borderId="1" xfId="0" applyNumberFormat="1" applyFill="1" applyBorder="1"/>
    <xf numFmtId="2" fontId="0" fillId="9" borderId="1" xfId="0" applyNumberFormat="1" applyFill="1" applyBorder="1"/>
    <xf numFmtId="4" fontId="0" fillId="9" borderId="1" xfId="0" applyNumberFormat="1" applyFill="1" applyBorder="1"/>
    <xf numFmtId="0" fontId="0" fillId="9" borderId="1" xfId="0" applyFill="1" applyBorder="1"/>
    <xf numFmtId="0" fontId="11" fillId="0" borderId="0" xfId="0" applyFont="1" applyFill="1"/>
    <xf numFmtId="0" fontId="2" fillId="9" borderId="0" xfId="0" applyFont="1" applyFill="1" applyBorder="1"/>
    <xf numFmtId="0" fontId="2" fillId="9" borderId="5" xfId="0" applyFont="1" applyFill="1" applyBorder="1"/>
    <xf numFmtId="4" fontId="2" fillId="9" borderId="2" xfId="0" applyNumberFormat="1" applyFont="1" applyFill="1" applyBorder="1"/>
    <xf numFmtId="0" fontId="2" fillId="9" borderId="0" xfId="0" applyFont="1" applyFill="1"/>
    <xf numFmtId="10" fontId="5" fillId="9" borderId="1" xfId="0" applyNumberFormat="1" applyFont="1" applyFill="1" applyBorder="1"/>
    <xf numFmtId="4" fontId="5" fillId="9" borderId="1" xfId="0" applyNumberFormat="1" applyFont="1" applyFill="1" applyBorder="1"/>
    <xf numFmtId="4" fontId="2" fillId="9" borderId="1" xfId="0" applyNumberFormat="1" applyFont="1" applyFill="1" applyBorder="1"/>
    <xf numFmtId="0" fontId="0" fillId="3" borderId="0" xfId="0" applyFill="1" applyBorder="1"/>
    <xf numFmtId="0" fontId="1" fillId="5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</xdr:col>
      <xdr:colOff>2180360</xdr:colOff>
      <xdr:row>38</xdr:row>
      <xdr:rowOff>21381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0936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2186940</xdr:colOff>
      <xdr:row>35</xdr:row>
      <xdr:rowOff>15240</xdr:rowOff>
    </xdr:from>
    <xdr:to>
      <xdr:col>4</xdr:col>
      <xdr:colOff>170848</xdr:colOff>
      <xdr:row>42</xdr:row>
      <xdr:rowOff>67991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4680" y="6499860"/>
          <a:ext cx="1786288" cy="1226231"/>
        </a:xfrm>
        <a:prstGeom prst="rect">
          <a:avLst/>
        </a:prstGeom>
      </xdr:spPr>
    </xdr:pic>
    <xdr:clientData/>
  </xdr:twoCellAnchor>
  <xdr:twoCellAnchor editAs="oneCell">
    <xdr:from>
      <xdr:col>4</xdr:col>
      <xdr:colOff>175260</xdr:colOff>
      <xdr:row>35</xdr:row>
      <xdr:rowOff>7620</xdr:rowOff>
    </xdr:from>
    <xdr:to>
      <xdr:col>8</xdr:col>
      <xdr:colOff>587049</xdr:colOff>
      <xdr:row>42</xdr:row>
      <xdr:rowOff>126604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45380" y="6492240"/>
          <a:ext cx="3566469" cy="1292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2</xdr:col>
      <xdr:colOff>1353590</xdr:colOff>
      <xdr:row>61</xdr:row>
      <xdr:rowOff>21381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42594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1356360</xdr:colOff>
      <xdr:row>58</xdr:row>
      <xdr:rowOff>7620</xdr:rowOff>
    </xdr:from>
    <xdr:to>
      <xdr:col>3</xdr:col>
      <xdr:colOff>546133</xdr:colOff>
      <xdr:row>65</xdr:row>
      <xdr:rowOff>60371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5640" y="10126980"/>
          <a:ext cx="1772953" cy="1226231"/>
        </a:xfrm>
        <a:prstGeom prst="rect">
          <a:avLst/>
        </a:prstGeom>
      </xdr:spPr>
    </xdr:pic>
    <xdr:clientData/>
  </xdr:twoCellAnchor>
  <xdr:twoCellAnchor editAs="oneCell">
    <xdr:from>
      <xdr:col>3</xdr:col>
      <xdr:colOff>563880</xdr:colOff>
      <xdr:row>58</xdr:row>
      <xdr:rowOff>7620</xdr:rowOff>
    </xdr:from>
    <xdr:to>
      <xdr:col>8</xdr:col>
      <xdr:colOff>564189</xdr:colOff>
      <xdr:row>65</xdr:row>
      <xdr:rowOff>126604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06340" y="10126980"/>
          <a:ext cx="3566469" cy="1292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2</xdr:col>
      <xdr:colOff>637310</xdr:colOff>
      <xdr:row>29</xdr:row>
      <xdr:rowOff>21381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962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26</xdr:row>
      <xdr:rowOff>7620</xdr:rowOff>
    </xdr:from>
    <xdr:to>
      <xdr:col>5</xdr:col>
      <xdr:colOff>56548</xdr:colOff>
      <xdr:row>33</xdr:row>
      <xdr:rowOff>60371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3260" y="4587240"/>
          <a:ext cx="1786288" cy="1226231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</xdr:colOff>
      <xdr:row>26</xdr:row>
      <xdr:rowOff>7620</xdr:rowOff>
    </xdr:from>
    <xdr:to>
      <xdr:col>9</xdr:col>
      <xdr:colOff>366069</xdr:colOff>
      <xdr:row>33</xdr:row>
      <xdr:rowOff>126604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3960" y="4587240"/>
          <a:ext cx="3566469" cy="1292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296334</xdr:colOff>
      <xdr:row>10</xdr:row>
      <xdr:rowOff>0</xdr:rowOff>
    </xdr:from>
    <xdr:to>
      <xdr:col>10</xdr:col>
      <xdr:colOff>84666</xdr:colOff>
      <xdr:row>17</xdr:row>
      <xdr:rowOff>42334</xdr:rowOff>
    </xdr:to>
    <xdr:sp macro="" textlink="">
      <xdr:nvSpPr>
        <xdr:cNvPr id="2" name="Rechteck 1"/>
        <xdr:cNvSpPr/>
      </xdr:nvSpPr>
      <xdr:spPr>
        <a:xfrm>
          <a:off x="6350001" y="1725083"/>
          <a:ext cx="2074332" cy="1153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1.5-facher</a:t>
          </a:r>
          <a:r>
            <a:rPr lang="de-CH" sz="1100" baseline="0"/>
            <a:t> Pflanzenschutz nach Baumvolumenkonzept Merkblatt "Applikation von Pflanzenschutzmitteln im Hochstammobstbau" SG/TG.</a:t>
          </a:r>
          <a:endParaRPr lang="de-CH" sz="1100"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2</xdr:col>
      <xdr:colOff>10353</xdr:colOff>
      <xdr:row>85</xdr:row>
      <xdr:rowOff>16301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59933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2</xdr:col>
      <xdr:colOff>16925</xdr:colOff>
      <xdr:row>82</xdr:row>
      <xdr:rowOff>8467</xdr:rowOff>
    </xdr:from>
    <xdr:to>
      <xdr:col>4</xdr:col>
      <xdr:colOff>219946</xdr:colOff>
      <xdr:row>89</xdr:row>
      <xdr:rowOff>49364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7325" y="14215534"/>
          <a:ext cx="1786288" cy="1226230"/>
        </a:xfrm>
        <a:prstGeom prst="rect">
          <a:avLst/>
        </a:prstGeom>
      </xdr:spPr>
    </xdr:pic>
    <xdr:clientData/>
  </xdr:twoCellAnchor>
  <xdr:twoCellAnchor editAs="oneCell">
    <xdr:from>
      <xdr:col>4</xdr:col>
      <xdr:colOff>228595</xdr:colOff>
      <xdr:row>82</xdr:row>
      <xdr:rowOff>16932</xdr:rowOff>
    </xdr:from>
    <xdr:to>
      <xdr:col>8</xdr:col>
      <xdr:colOff>611598</xdr:colOff>
      <xdr:row>89</xdr:row>
      <xdr:rowOff>124062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2262" y="14223999"/>
          <a:ext cx="3566469" cy="1292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F1"/>
    </sheetView>
  </sheetViews>
  <sheetFormatPr baseColWidth="10" defaultRowHeight="12.75" x14ac:dyDescent="0.2"/>
  <cols>
    <col min="1" max="1" width="14.140625" customWidth="1"/>
    <col min="2" max="2" width="38" customWidth="1"/>
    <col min="3" max="3" width="5.85546875" customWidth="1"/>
    <col min="5" max="5" width="11.42578125" style="1" customWidth="1"/>
    <col min="6" max="6" width="11.42578125" style="2" customWidth="1"/>
  </cols>
  <sheetData>
    <row r="1" spans="1:7" ht="42" customHeight="1" x14ac:dyDescent="0.3">
      <c r="A1" s="114" t="s">
        <v>100</v>
      </c>
      <c r="B1" s="114"/>
      <c r="C1" s="114"/>
      <c r="D1" s="114"/>
      <c r="E1" s="114"/>
      <c r="F1" s="114"/>
      <c r="G1" t="s">
        <v>130</v>
      </c>
    </row>
    <row r="2" spans="1:7" ht="13.5" thickBot="1" x14ac:dyDescent="0.25">
      <c r="A2" s="73" t="s">
        <v>98</v>
      </c>
      <c r="B2" s="73"/>
      <c r="C2" s="73"/>
      <c r="D2" s="73"/>
      <c r="E2" s="74"/>
      <c r="F2" s="75"/>
    </row>
    <row r="3" spans="1:7" ht="13.5" thickBot="1" x14ac:dyDescent="0.25">
      <c r="A3" s="3"/>
      <c r="B3" s="3"/>
      <c r="C3" s="3" t="s">
        <v>0</v>
      </c>
      <c r="D3" s="3" t="s">
        <v>1</v>
      </c>
      <c r="E3" s="4" t="s">
        <v>2</v>
      </c>
      <c r="F3" s="5" t="s">
        <v>3</v>
      </c>
    </row>
    <row r="4" spans="1:7" ht="13.5" thickBot="1" x14ac:dyDescent="0.25">
      <c r="A4" t="s">
        <v>4</v>
      </c>
      <c r="D4" s="6">
        <v>120</v>
      </c>
      <c r="E4" s="7">
        <v>60</v>
      </c>
      <c r="F4" s="8">
        <f>D4*E4</f>
        <v>7200</v>
      </c>
    </row>
    <row r="5" spans="1:7" ht="13.5" thickBot="1" x14ac:dyDescent="0.25">
      <c r="D5" s="6"/>
      <c r="E5" s="7"/>
      <c r="F5" s="8"/>
    </row>
    <row r="6" spans="1:7" ht="13.5" thickBot="1" x14ac:dyDescent="0.25">
      <c r="A6" t="s">
        <v>5</v>
      </c>
      <c r="B6" t="s">
        <v>6</v>
      </c>
      <c r="D6" s="6">
        <v>120</v>
      </c>
      <c r="E6" s="7">
        <v>18</v>
      </c>
      <c r="F6" s="8">
        <f>D6*E6</f>
        <v>2160</v>
      </c>
      <c r="G6" t="s">
        <v>122</v>
      </c>
    </row>
    <row r="7" spans="1:7" ht="13.5" thickBot="1" x14ac:dyDescent="0.25">
      <c r="B7" t="s">
        <v>7</v>
      </c>
      <c r="D7" s="6">
        <v>2</v>
      </c>
      <c r="E7" s="7">
        <v>5.5</v>
      </c>
      <c r="F7" s="8">
        <f>D7*E7</f>
        <v>11</v>
      </c>
    </row>
    <row r="8" spans="1:7" ht="13.5" thickBot="1" x14ac:dyDescent="0.25">
      <c r="B8" t="s">
        <v>8</v>
      </c>
      <c r="D8" s="6">
        <v>120</v>
      </c>
      <c r="E8" s="7">
        <v>0.5</v>
      </c>
      <c r="F8" s="8">
        <f>D8*E8</f>
        <v>60</v>
      </c>
    </row>
    <row r="9" spans="1:7" ht="13.5" thickBot="1" x14ac:dyDescent="0.25">
      <c r="B9" t="s">
        <v>115</v>
      </c>
      <c r="D9" s="6">
        <v>120</v>
      </c>
      <c r="E9" s="7">
        <v>5</v>
      </c>
      <c r="F9" s="8">
        <f>D9*E9</f>
        <v>600</v>
      </c>
      <c r="G9" t="s">
        <v>131</v>
      </c>
    </row>
    <row r="10" spans="1:7" ht="13.5" thickBot="1" x14ac:dyDescent="0.25">
      <c r="A10" t="s">
        <v>9</v>
      </c>
      <c r="B10" s="92" t="s">
        <v>123</v>
      </c>
      <c r="D10" s="6">
        <v>2</v>
      </c>
      <c r="E10" s="7">
        <v>75</v>
      </c>
      <c r="F10" s="8">
        <f>D10*E10</f>
        <v>150</v>
      </c>
      <c r="G10" t="s">
        <v>124</v>
      </c>
    </row>
    <row r="11" spans="1:7" ht="13.5" thickBot="1" x14ac:dyDescent="0.25">
      <c r="B11" t="s">
        <v>10</v>
      </c>
      <c r="D11" s="6"/>
      <c r="E11" s="7"/>
      <c r="F11" s="8">
        <v>70</v>
      </c>
    </row>
    <row r="12" spans="1:7" ht="13.5" thickBot="1" x14ac:dyDescent="0.25">
      <c r="B12" t="s">
        <v>11</v>
      </c>
      <c r="D12" s="6"/>
      <c r="E12" s="7"/>
      <c r="F12" s="8">
        <v>300</v>
      </c>
    </row>
    <row r="13" spans="1:7" ht="13.5" thickBot="1" x14ac:dyDescent="0.25">
      <c r="D13" s="9"/>
      <c r="E13" s="10"/>
      <c r="F13" s="11"/>
    </row>
    <row r="14" spans="1:7" ht="13.5" thickBot="1" x14ac:dyDescent="0.25">
      <c r="A14" s="12" t="s">
        <v>12</v>
      </c>
      <c r="B14" s="12"/>
      <c r="C14" s="12"/>
      <c r="D14" s="12"/>
      <c r="E14" s="13"/>
      <c r="F14" s="14">
        <f>SUM(F4:F12)</f>
        <v>10551</v>
      </c>
    </row>
    <row r="15" spans="1:7" ht="13.5" thickBot="1" x14ac:dyDescent="0.25">
      <c r="D15" s="15"/>
      <c r="E15" s="16"/>
      <c r="F15" s="17"/>
    </row>
    <row r="16" spans="1:7" ht="13.5" thickBot="1" x14ac:dyDescent="0.25">
      <c r="A16" t="s">
        <v>13</v>
      </c>
      <c r="B16" t="s">
        <v>125</v>
      </c>
      <c r="D16" s="6">
        <v>5</v>
      </c>
      <c r="E16" s="7">
        <v>38</v>
      </c>
      <c r="F16" s="8">
        <f>D16*E16</f>
        <v>190</v>
      </c>
      <c r="G16" t="s">
        <v>126</v>
      </c>
    </row>
    <row r="17" spans="1:7" ht="13.5" thickBot="1" x14ac:dyDescent="0.25">
      <c r="B17" t="s">
        <v>101</v>
      </c>
      <c r="D17" s="6">
        <v>120</v>
      </c>
      <c r="E17" s="7">
        <v>2.5</v>
      </c>
      <c r="F17" s="8">
        <f>D17*E17</f>
        <v>300</v>
      </c>
      <c r="G17" t="s">
        <v>127</v>
      </c>
    </row>
    <row r="18" spans="1:7" ht="13.5" thickBot="1" x14ac:dyDescent="0.25">
      <c r="D18" s="6"/>
      <c r="E18" s="7"/>
      <c r="F18" s="8"/>
    </row>
    <row r="19" spans="1:7" ht="13.5" thickBot="1" x14ac:dyDescent="0.25">
      <c r="A19" t="s">
        <v>14</v>
      </c>
      <c r="B19" t="s">
        <v>128</v>
      </c>
      <c r="D19" s="6">
        <v>7</v>
      </c>
      <c r="E19" s="7">
        <v>45</v>
      </c>
      <c r="F19" s="8">
        <f>D19*E19</f>
        <v>315</v>
      </c>
      <c r="G19" t="s">
        <v>129</v>
      </c>
    </row>
    <row r="20" spans="1:7" ht="13.5" thickBot="1" x14ac:dyDescent="0.25">
      <c r="A20" t="s">
        <v>15</v>
      </c>
      <c r="D20" s="6"/>
      <c r="E20" s="7"/>
      <c r="F20" s="8">
        <v>250</v>
      </c>
    </row>
    <row r="21" spans="1:7" ht="13.5" thickBot="1" x14ac:dyDescent="0.25">
      <c r="D21" s="9"/>
      <c r="E21" s="7"/>
      <c r="F21" s="8"/>
    </row>
    <row r="22" spans="1:7" ht="13.5" thickBot="1" x14ac:dyDescent="0.25">
      <c r="A22" s="18" t="s">
        <v>16</v>
      </c>
      <c r="B22" s="6"/>
      <c r="C22" s="6"/>
      <c r="D22" s="6"/>
      <c r="E22" s="7"/>
      <c r="F22" s="8">
        <f>SUM(F16:F20)</f>
        <v>1055</v>
      </c>
    </row>
    <row r="23" spans="1:7" ht="13.5" thickBot="1" x14ac:dyDescent="0.25">
      <c r="A23" s="113"/>
      <c r="B23" s="113"/>
      <c r="C23" s="113"/>
      <c r="D23" s="15"/>
      <c r="E23" s="7"/>
      <c r="F23" s="8"/>
    </row>
    <row r="24" spans="1:7" ht="13.5" thickBot="1" x14ac:dyDescent="0.25">
      <c r="A24" t="s">
        <v>18</v>
      </c>
      <c r="B24" t="s">
        <v>116</v>
      </c>
      <c r="D24" s="15">
        <v>10</v>
      </c>
      <c r="E24" s="7">
        <v>30</v>
      </c>
      <c r="F24" s="8">
        <f t="shared" ref="F24:F28" si="0">D24*E24</f>
        <v>300</v>
      </c>
      <c r="G24" t="s">
        <v>132</v>
      </c>
    </row>
    <row r="25" spans="1:7" ht="13.5" thickBot="1" x14ac:dyDescent="0.25">
      <c r="B25" t="s">
        <v>19</v>
      </c>
      <c r="D25" s="6">
        <v>1</v>
      </c>
      <c r="E25" s="7">
        <v>30</v>
      </c>
      <c r="F25" s="8">
        <f t="shared" si="0"/>
        <v>30</v>
      </c>
    </row>
    <row r="26" spans="1:7" ht="13.5" thickBot="1" x14ac:dyDescent="0.25">
      <c r="B26" t="s">
        <v>20</v>
      </c>
      <c r="D26" s="6">
        <v>10</v>
      </c>
      <c r="E26" s="7">
        <v>30</v>
      </c>
      <c r="F26" s="8">
        <f t="shared" si="0"/>
        <v>300</v>
      </c>
    </row>
    <row r="27" spans="1:7" ht="13.5" thickBot="1" x14ac:dyDescent="0.25">
      <c r="B27" t="s">
        <v>21</v>
      </c>
      <c r="D27" s="6">
        <v>60</v>
      </c>
      <c r="E27" s="7">
        <v>30</v>
      </c>
      <c r="F27" s="8">
        <f t="shared" si="0"/>
        <v>1800</v>
      </c>
    </row>
    <row r="28" spans="1:7" ht="13.5" thickBot="1" x14ac:dyDescent="0.25">
      <c r="B28" t="s">
        <v>22</v>
      </c>
      <c r="D28" s="6">
        <v>20</v>
      </c>
      <c r="E28" s="7">
        <v>30</v>
      </c>
      <c r="F28" s="8">
        <f t="shared" si="0"/>
        <v>600</v>
      </c>
    </row>
    <row r="29" spans="1:7" ht="13.5" thickBot="1" x14ac:dyDescent="0.25">
      <c r="D29" s="9"/>
      <c r="E29" s="7"/>
      <c r="F29" s="8"/>
    </row>
    <row r="30" spans="1:7" ht="13.5" thickBot="1" x14ac:dyDescent="0.25">
      <c r="A30" s="6" t="s">
        <v>23</v>
      </c>
      <c r="B30" s="6"/>
      <c r="C30" s="6"/>
      <c r="D30" s="6">
        <f>SUM(D24:D28)</f>
        <v>101</v>
      </c>
      <c r="E30" s="20"/>
      <c r="F30" s="8">
        <f>SUM(F24:F28)</f>
        <v>3030</v>
      </c>
    </row>
    <row r="31" spans="1:7" s="35" customFormat="1" ht="13.5" thickBot="1" x14ac:dyDescent="0.25">
      <c r="A31" s="21"/>
      <c r="B31" s="21"/>
      <c r="C31" s="21"/>
      <c r="D31" s="15"/>
      <c r="E31" s="20"/>
      <c r="F31" s="8"/>
    </row>
    <row r="32" spans="1:7" ht="13.5" thickBot="1" x14ac:dyDescent="0.25">
      <c r="A32" s="22" t="s">
        <v>24</v>
      </c>
      <c r="B32" s="22"/>
      <c r="C32" s="22"/>
      <c r="D32" s="12"/>
      <c r="E32" s="13"/>
      <c r="F32" s="14">
        <f>F30+F22</f>
        <v>4085</v>
      </c>
    </row>
    <row r="33" spans="1:6" ht="13.5" thickBot="1" x14ac:dyDescent="0.25">
      <c r="D33" s="6"/>
      <c r="E33" s="7"/>
      <c r="F33" s="8"/>
    </row>
    <row r="34" spans="1:6" ht="13.5" thickBot="1" x14ac:dyDescent="0.25">
      <c r="A34" s="23" t="s">
        <v>25</v>
      </c>
      <c r="B34" s="23"/>
      <c r="C34" s="23"/>
      <c r="D34" s="23"/>
      <c r="E34" s="24"/>
      <c r="F34" s="25">
        <f>F32+F14</f>
        <v>14636</v>
      </c>
    </row>
  </sheetData>
  <sheetProtection algorithmName="SHA-512" hashValue="f6x2YwbcRFiwIb/2np1l2sXqdSHKsrO1Rl1oakgcU08tne/nUlxfhbAPbi6IemRRaZ4L37FDLETAwMLu4b0Iig==" saltValue="2OOEb4drab50OpIW85M3EQ==" spinCount="100000" sheet="1" objects="1" scenarios="1"/>
  <mergeCells count="1">
    <mergeCell ref="A1:F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36" workbookViewId="0">
      <selection activeCell="F54" sqref="F54"/>
    </sheetView>
  </sheetViews>
  <sheetFormatPr baseColWidth="10" defaultRowHeight="12.75" x14ac:dyDescent="0.2"/>
  <cols>
    <col min="1" max="1" width="15.5703125" customWidth="1"/>
    <col min="3" max="3" width="37.7109375" customWidth="1"/>
    <col min="4" max="4" width="9.85546875" customWidth="1"/>
    <col min="5" max="5" width="9" customWidth="1"/>
    <col min="6" max="6" width="10.140625" style="1" customWidth="1"/>
    <col min="7" max="7" width="11.42578125" style="2" customWidth="1"/>
  </cols>
  <sheetData>
    <row r="1" spans="1:12" ht="20.25" x14ac:dyDescent="0.3">
      <c r="A1" s="26" t="s">
        <v>72</v>
      </c>
      <c r="B1" s="26"/>
      <c r="C1" s="26"/>
      <c r="D1" s="26"/>
      <c r="E1" s="26"/>
      <c r="F1" s="27"/>
      <c r="G1" s="28"/>
    </row>
    <row r="2" spans="1:12" ht="15.75" customHeight="1" x14ac:dyDescent="0.2">
      <c r="A2" s="73" t="str">
        <f>Erstellung!A2</f>
        <v xml:space="preserve">Variante: ÖLN mit Mechanisierung, Beitrag 45.-/Baum ÖQV </v>
      </c>
      <c r="B2" s="73"/>
      <c r="C2" s="73"/>
      <c r="D2" s="73"/>
      <c r="E2" s="73"/>
      <c r="F2" s="74"/>
      <c r="G2" s="75"/>
    </row>
    <row r="3" spans="1:12" ht="15.75" customHeight="1" x14ac:dyDescent="0.2">
      <c r="A3" s="29" t="s">
        <v>26</v>
      </c>
      <c r="B3" s="29"/>
      <c r="C3" s="29"/>
      <c r="D3" s="29" t="s">
        <v>73</v>
      </c>
      <c r="E3" s="29" t="s">
        <v>1</v>
      </c>
      <c r="F3" s="30" t="s">
        <v>2</v>
      </c>
      <c r="G3" s="31" t="s">
        <v>3</v>
      </c>
      <c r="I3" s="32"/>
      <c r="L3" s="2"/>
    </row>
    <row r="4" spans="1:12" x14ac:dyDescent="0.2">
      <c r="B4" t="s">
        <v>27</v>
      </c>
      <c r="C4" t="s">
        <v>102</v>
      </c>
      <c r="D4" s="19">
        <v>1</v>
      </c>
      <c r="E4" s="19"/>
      <c r="F4" s="33">
        <v>64</v>
      </c>
      <c r="G4" s="34">
        <f>D4*F4</f>
        <v>64</v>
      </c>
      <c r="H4" t="s">
        <v>133</v>
      </c>
    </row>
    <row r="5" spans="1:12" x14ac:dyDescent="0.2">
      <c r="C5" t="s">
        <v>28</v>
      </c>
      <c r="D5" s="19">
        <v>2</v>
      </c>
      <c r="E5" s="19"/>
      <c r="F5" s="33">
        <v>40</v>
      </c>
      <c r="G5" s="34">
        <f t="shared" ref="G5:G11" si="0">D5*F5</f>
        <v>80</v>
      </c>
    </row>
    <row r="6" spans="1:12" x14ac:dyDescent="0.2">
      <c r="C6" t="s">
        <v>103</v>
      </c>
      <c r="D6" s="19">
        <v>2</v>
      </c>
      <c r="E6" s="19"/>
      <c r="F6" s="33">
        <v>50</v>
      </c>
      <c r="G6" s="34">
        <f t="shared" si="0"/>
        <v>100</v>
      </c>
    </row>
    <row r="7" spans="1:12" x14ac:dyDescent="0.2">
      <c r="C7" t="s">
        <v>82</v>
      </c>
      <c r="D7" s="19">
        <v>4</v>
      </c>
      <c r="E7" s="19"/>
      <c r="F7" s="33">
        <v>65</v>
      </c>
      <c r="G7" s="34">
        <f t="shared" si="0"/>
        <v>260</v>
      </c>
    </row>
    <row r="8" spans="1:12" x14ac:dyDescent="0.2">
      <c r="C8" t="s">
        <v>104</v>
      </c>
      <c r="D8" s="19">
        <v>4</v>
      </c>
      <c r="E8" s="19"/>
      <c r="F8" s="33">
        <v>20</v>
      </c>
      <c r="G8" s="34">
        <f t="shared" si="0"/>
        <v>80</v>
      </c>
    </row>
    <row r="9" spans="1:12" x14ac:dyDescent="0.2">
      <c r="B9" t="s">
        <v>29</v>
      </c>
      <c r="C9" t="s">
        <v>105</v>
      </c>
      <c r="D9" s="19">
        <v>1</v>
      </c>
      <c r="E9" s="19"/>
      <c r="F9" s="33">
        <v>150</v>
      </c>
      <c r="G9" s="34">
        <f t="shared" si="0"/>
        <v>150</v>
      </c>
    </row>
    <row r="10" spans="1:12" x14ac:dyDescent="0.2">
      <c r="C10" t="s">
        <v>30</v>
      </c>
      <c r="D10" s="19">
        <v>1</v>
      </c>
      <c r="E10" s="19"/>
      <c r="F10" s="33">
        <v>62</v>
      </c>
      <c r="G10" s="34">
        <f t="shared" si="0"/>
        <v>62</v>
      </c>
    </row>
    <row r="11" spans="1:12" x14ac:dyDescent="0.2">
      <c r="C11" t="s">
        <v>106</v>
      </c>
      <c r="D11" s="19">
        <v>2</v>
      </c>
      <c r="E11" s="19"/>
      <c r="F11" s="33">
        <v>138</v>
      </c>
      <c r="G11" s="34">
        <f t="shared" si="0"/>
        <v>276</v>
      </c>
    </row>
    <row r="12" spans="1:12" x14ac:dyDescent="0.2">
      <c r="A12" s="19" t="s">
        <v>31</v>
      </c>
      <c r="B12" s="19"/>
      <c r="C12" s="19"/>
      <c r="D12" s="19">
        <f>SUM(D4:D11)</f>
        <v>17</v>
      </c>
      <c r="E12" s="19"/>
      <c r="F12" s="33"/>
      <c r="G12" s="34">
        <f>SUM(G4:G11)</f>
        <v>1072</v>
      </c>
    </row>
    <row r="13" spans="1:12" x14ac:dyDescent="0.2">
      <c r="A13" s="93" t="s">
        <v>134</v>
      </c>
      <c r="B13" s="93"/>
      <c r="C13" s="93"/>
      <c r="D13" s="93">
        <v>2</v>
      </c>
      <c r="E13" s="93"/>
      <c r="F13" s="94">
        <v>75</v>
      </c>
      <c r="G13" s="95">
        <f>D13*F13</f>
        <v>150</v>
      </c>
    </row>
    <row r="14" spans="1:12" x14ac:dyDescent="0.2">
      <c r="A14" s="93" t="s">
        <v>135</v>
      </c>
      <c r="B14" s="93"/>
      <c r="C14" s="93"/>
      <c r="D14" s="93">
        <v>4</v>
      </c>
      <c r="E14" s="93"/>
      <c r="F14" s="94">
        <v>19.5</v>
      </c>
      <c r="G14" s="95">
        <f>D14*F14</f>
        <v>78</v>
      </c>
      <c r="H14" t="s">
        <v>136</v>
      </c>
    </row>
    <row r="15" spans="1:12" s="79" customFormat="1" x14ac:dyDescent="0.2">
      <c r="A15" s="76" t="s">
        <v>32</v>
      </c>
      <c r="B15" s="76"/>
      <c r="C15" s="76"/>
      <c r="D15" s="76"/>
      <c r="E15" s="76"/>
      <c r="F15" s="77"/>
      <c r="G15" s="78">
        <f>SUM(G12:G14)</f>
        <v>1300</v>
      </c>
    </row>
    <row r="16" spans="1:12" ht="13.5" thickBot="1" x14ac:dyDescent="0.25"/>
    <row r="17" spans="1:8" ht="13.5" thickBot="1" x14ac:dyDescent="0.25">
      <c r="A17" s="3"/>
      <c r="B17" s="3"/>
      <c r="C17" s="3"/>
      <c r="D17" s="3" t="str">
        <f>D3</f>
        <v>Durchgang</v>
      </c>
      <c r="E17" s="3" t="s">
        <v>74</v>
      </c>
      <c r="F17" s="4" t="str">
        <f>F3</f>
        <v>Preis</v>
      </c>
      <c r="G17" s="3" t="str">
        <f>G3</f>
        <v>Fr.-/ha</v>
      </c>
    </row>
    <row r="18" spans="1:8" ht="13.5" thickBot="1" x14ac:dyDescent="0.25">
      <c r="A18" t="s">
        <v>13</v>
      </c>
      <c r="B18" t="s">
        <v>137</v>
      </c>
      <c r="D18">
        <v>5</v>
      </c>
      <c r="E18" s="6">
        <v>2</v>
      </c>
      <c r="F18" s="7">
        <v>37</v>
      </c>
      <c r="G18" s="8">
        <f>D18*E18*F18</f>
        <v>370</v>
      </c>
      <c r="H18" t="s">
        <v>140</v>
      </c>
    </row>
    <row r="19" spans="1:8" ht="13.5" thickBot="1" x14ac:dyDescent="0.25">
      <c r="B19" t="s">
        <v>125</v>
      </c>
      <c r="E19" s="6">
        <v>8</v>
      </c>
      <c r="F19" s="7">
        <v>38</v>
      </c>
      <c r="G19" s="8">
        <f t="shared" ref="G19:G25" si="1">E19*F19</f>
        <v>304</v>
      </c>
      <c r="H19" t="s">
        <v>148</v>
      </c>
    </row>
    <row r="20" spans="1:8" ht="13.5" thickBot="1" x14ac:dyDescent="0.25">
      <c r="B20" t="s">
        <v>139</v>
      </c>
      <c r="E20" s="6">
        <v>4</v>
      </c>
      <c r="F20" s="7">
        <v>55</v>
      </c>
      <c r="G20" s="8">
        <f t="shared" si="1"/>
        <v>220</v>
      </c>
      <c r="H20" t="s">
        <v>141</v>
      </c>
    </row>
    <row r="21" spans="1:8" ht="13.5" thickBot="1" x14ac:dyDescent="0.25">
      <c r="B21" s="92" t="s">
        <v>138</v>
      </c>
      <c r="E21" s="6">
        <v>10</v>
      </c>
      <c r="F21" s="7">
        <v>42</v>
      </c>
      <c r="G21" s="8">
        <f t="shared" si="1"/>
        <v>420</v>
      </c>
      <c r="H21" t="s">
        <v>142</v>
      </c>
    </row>
    <row r="22" spans="1:8" ht="13.5" thickBot="1" x14ac:dyDescent="0.25">
      <c r="B22" s="96" t="s">
        <v>109</v>
      </c>
      <c r="E22" s="6">
        <v>2</v>
      </c>
      <c r="F22" s="7">
        <v>42</v>
      </c>
      <c r="G22" s="8">
        <f t="shared" si="1"/>
        <v>84</v>
      </c>
      <c r="H22" t="s">
        <v>143</v>
      </c>
    </row>
    <row r="23" spans="1:8" ht="13.5" thickBot="1" x14ac:dyDescent="0.25">
      <c r="B23" s="96" t="s">
        <v>117</v>
      </c>
      <c r="E23" s="6">
        <v>15</v>
      </c>
      <c r="F23" s="7">
        <v>14.5</v>
      </c>
      <c r="G23" s="8">
        <f t="shared" si="1"/>
        <v>217.5</v>
      </c>
      <c r="H23" t="s">
        <v>147</v>
      </c>
    </row>
    <row r="24" spans="1:8" ht="13.5" thickBot="1" x14ac:dyDescent="0.25">
      <c r="B24" s="96" t="s">
        <v>146</v>
      </c>
      <c r="E24" s="6">
        <v>50</v>
      </c>
      <c r="F24" s="7">
        <v>19</v>
      </c>
      <c r="G24" s="8">
        <f t="shared" si="1"/>
        <v>950</v>
      </c>
      <c r="H24" t="s">
        <v>144</v>
      </c>
    </row>
    <row r="25" spans="1:8" ht="13.5" thickBot="1" x14ac:dyDescent="0.25">
      <c r="A25" t="s">
        <v>14</v>
      </c>
      <c r="B25" t="s">
        <v>128</v>
      </c>
      <c r="E25" s="6">
        <f>E18*D18+E19+E22</f>
        <v>20</v>
      </c>
      <c r="F25" s="7">
        <v>45</v>
      </c>
      <c r="G25" s="8">
        <f t="shared" si="1"/>
        <v>900</v>
      </c>
      <c r="H25" t="s">
        <v>145</v>
      </c>
    </row>
    <row r="26" spans="1:8" ht="13.5" thickBot="1" x14ac:dyDescent="0.25">
      <c r="A26" s="92" t="s">
        <v>118</v>
      </c>
      <c r="E26" s="6"/>
      <c r="F26" s="7"/>
      <c r="G26" s="8">
        <v>350</v>
      </c>
    </row>
    <row r="27" spans="1:8" ht="13.5" thickBot="1" x14ac:dyDescent="0.25">
      <c r="E27" s="6"/>
      <c r="F27" s="7"/>
      <c r="G27" s="8"/>
    </row>
    <row r="28" spans="1:8" ht="13.5" thickBot="1" x14ac:dyDescent="0.25">
      <c r="A28" s="6" t="s">
        <v>16</v>
      </c>
      <c r="B28" s="6"/>
      <c r="C28" s="6"/>
      <c r="D28" s="6"/>
      <c r="E28" s="38"/>
      <c r="F28" s="10"/>
      <c r="G28" s="11">
        <f>SUM(G18:G26)</f>
        <v>3815.5</v>
      </c>
    </row>
    <row r="29" spans="1:8" ht="13.5" thickBot="1" x14ac:dyDescent="0.25">
      <c r="A29" s="21"/>
      <c r="B29" s="21"/>
      <c r="C29" s="21"/>
      <c r="D29" s="21"/>
      <c r="E29" s="38"/>
      <c r="F29" s="10"/>
      <c r="G29" s="11"/>
    </row>
    <row r="30" spans="1:8" ht="13.5" thickBot="1" x14ac:dyDescent="0.25">
      <c r="A30" s="21" t="s">
        <v>17</v>
      </c>
      <c r="B30" s="21"/>
      <c r="C30" s="21"/>
      <c r="D30" s="21"/>
      <c r="E30" s="97"/>
      <c r="F30" s="98"/>
      <c r="G30" s="99">
        <v>709</v>
      </c>
      <c r="H30" t="s">
        <v>149</v>
      </c>
    </row>
    <row r="31" spans="1:8" ht="13.5" thickBot="1" x14ac:dyDescent="0.25">
      <c r="E31" s="6"/>
      <c r="F31" s="7"/>
      <c r="G31" s="8"/>
    </row>
    <row r="32" spans="1:8" ht="13.5" thickBot="1" x14ac:dyDescent="0.25">
      <c r="A32" t="s">
        <v>18</v>
      </c>
      <c r="B32" t="s">
        <v>119</v>
      </c>
      <c r="E32" s="6">
        <v>60</v>
      </c>
      <c r="F32" s="7">
        <v>30</v>
      </c>
      <c r="G32" s="8">
        <f>E32*F32</f>
        <v>1800</v>
      </c>
    </row>
    <row r="33" spans="1:8" ht="13.5" thickBot="1" x14ac:dyDescent="0.25">
      <c r="B33" t="s">
        <v>64</v>
      </c>
      <c r="D33">
        <v>5</v>
      </c>
      <c r="E33" s="6">
        <v>2</v>
      </c>
      <c r="F33" s="7">
        <v>30</v>
      </c>
      <c r="G33" s="8">
        <f>D33*E33*F33</f>
        <v>300</v>
      </c>
    </row>
    <row r="34" spans="1:8" ht="13.5" thickBot="1" x14ac:dyDescent="0.25">
      <c r="B34" t="s">
        <v>33</v>
      </c>
      <c r="E34" s="6">
        <v>15</v>
      </c>
      <c r="F34" s="7">
        <v>30</v>
      </c>
      <c r="G34" s="8">
        <f t="shared" ref="G34:G39" si="2">E34*F34</f>
        <v>450</v>
      </c>
    </row>
    <row r="35" spans="1:8" ht="13.5" thickBot="1" x14ac:dyDescent="0.25">
      <c r="B35" t="s">
        <v>34</v>
      </c>
      <c r="E35" s="6">
        <v>21</v>
      </c>
      <c r="F35" s="7">
        <v>30</v>
      </c>
      <c r="G35" s="8">
        <f t="shared" si="2"/>
        <v>630</v>
      </c>
    </row>
    <row r="36" spans="1:8" ht="13.5" thickBot="1" x14ac:dyDescent="0.25">
      <c r="B36" t="s">
        <v>120</v>
      </c>
      <c r="E36" s="6">
        <v>6</v>
      </c>
      <c r="F36" s="7">
        <v>30</v>
      </c>
      <c r="G36" s="8">
        <f t="shared" si="2"/>
        <v>180</v>
      </c>
    </row>
    <row r="37" spans="1:8" ht="13.5" thickBot="1" x14ac:dyDescent="0.25">
      <c r="B37" t="s">
        <v>88</v>
      </c>
      <c r="E37" s="6">
        <v>10</v>
      </c>
      <c r="F37" s="7">
        <v>30</v>
      </c>
      <c r="G37" s="8">
        <f t="shared" si="2"/>
        <v>300</v>
      </c>
    </row>
    <row r="38" spans="1:8" ht="13.5" thickBot="1" x14ac:dyDescent="0.25">
      <c r="B38" t="s">
        <v>89</v>
      </c>
      <c r="E38" s="6">
        <v>6</v>
      </c>
      <c r="F38" s="7">
        <v>30</v>
      </c>
      <c r="G38" s="8">
        <f t="shared" si="2"/>
        <v>180</v>
      </c>
      <c r="H38" t="s">
        <v>150</v>
      </c>
    </row>
    <row r="39" spans="1:8" ht="13.5" thickBot="1" x14ac:dyDescent="0.25">
      <c r="A39" t="s">
        <v>35</v>
      </c>
      <c r="B39" t="s">
        <v>36</v>
      </c>
      <c r="E39" s="6">
        <f>(E32+D33*E33+E34+E35+E36+E37+E38)*0.1</f>
        <v>12.8</v>
      </c>
      <c r="F39" s="7">
        <v>30</v>
      </c>
      <c r="G39" s="8">
        <f t="shared" si="2"/>
        <v>384</v>
      </c>
    </row>
    <row r="40" spans="1:8" ht="13.5" thickBot="1" x14ac:dyDescent="0.25">
      <c r="E40" s="6"/>
      <c r="F40" s="7"/>
      <c r="G40" s="8"/>
    </row>
    <row r="41" spans="1:8" ht="13.5" thickBot="1" x14ac:dyDescent="0.25">
      <c r="A41" s="6" t="s">
        <v>37</v>
      </c>
      <c r="B41" s="6"/>
      <c r="C41" s="6"/>
      <c r="D41" s="6"/>
      <c r="E41" s="6">
        <f>SUM(E32:E40)</f>
        <v>132.80000000000001</v>
      </c>
      <c r="F41" s="7"/>
      <c r="G41" s="8">
        <f>SUM(G32:G39)</f>
        <v>4224</v>
      </c>
    </row>
    <row r="42" spans="1:8" ht="13.5" thickBot="1" x14ac:dyDescent="0.25"/>
    <row r="43" spans="1:8" ht="13.5" thickBot="1" x14ac:dyDescent="0.25">
      <c r="A43" s="100" t="s">
        <v>38</v>
      </c>
      <c r="B43" s="100" t="s">
        <v>75</v>
      </c>
      <c r="C43" s="100"/>
      <c r="D43" s="100"/>
      <c r="E43" s="101">
        <v>0.02</v>
      </c>
      <c r="F43" s="102">
        <f>G15+Erstellung!F14</f>
        <v>11851</v>
      </c>
      <c r="G43" s="103">
        <f>E43*F43</f>
        <v>237.02</v>
      </c>
    </row>
    <row r="45" spans="1:8" x14ac:dyDescent="0.2">
      <c r="A45" s="19" t="s">
        <v>83</v>
      </c>
      <c r="B45" s="19"/>
      <c r="C45" s="19"/>
      <c r="D45" s="19"/>
      <c r="E45" s="19"/>
      <c r="F45" s="33"/>
      <c r="G45" s="34">
        <v>800</v>
      </c>
    </row>
    <row r="46" spans="1:8" ht="13.5" thickBot="1" x14ac:dyDescent="0.25"/>
    <row r="47" spans="1:8" ht="13.5" thickBot="1" x14ac:dyDescent="0.25">
      <c r="A47" s="39" t="s">
        <v>24</v>
      </c>
      <c r="B47" s="39"/>
      <c r="C47" s="39"/>
      <c r="D47" s="39"/>
      <c r="E47" s="39"/>
      <c r="F47" s="40"/>
      <c r="G47" s="41">
        <f>G43+G41+G30+G28+G45</f>
        <v>9785.52</v>
      </c>
    </row>
    <row r="48" spans="1:8" ht="13.5" thickBot="1" x14ac:dyDescent="0.25"/>
    <row r="49" spans="1:7" ht="13.5" thickBot="1" x14ac:dyDescent="0.25">
      <c r="A49" s="3" t="s">
        <v>39</v>
      </c>
      <c r="B49" s="3"/>
      <c r="C49" s="3"/>
      <c r="D49" s="3"/>
      <c r="E49" s="3"/>
      <c r="F49" s="4"/>
      <c r="G49" s="5">
        <f>G47+G15</f>
        <v>11085.52</v>
      </c>
    </row>
    <row r="51" spans="1:7" x14ac:dyDescent="0.2">
      <c r="A51" s="79" t="s">
        <v>40</v>
      </c>
    </row>
    <row r="52" spans="1:7" x14ac:dyDescent="0.2">
      <c r="A52" t="s">
        <v>41</v>
      </c>
      <c r="B52" t="s">
        <v>42</v>
      </c>
    </row>
    <row r="53" spans="1:7" x14ac:dyDescent="0.2">
      <c r="B53" t="s">
        <v>85</v>
      </c>
    </row>
    <row r="54" spans="1:7" x14ac:dyDescent="0.2">
      <c r="B54" t="s">
        <v>84</v>
      </c>
    </row>
    <row r="55" spans="1:7" x14ac:dyDescent="0.2">
      <c r="B55" t="s">
        <v>86</v>
      </c>
    </row>
    <row r="57" spans="1:7" x14ac:dyDescent="0.2">
      <c r="B57" t="s">
        <v>87</v>
      </c>
    </row>
  </sheetData>
  <sheetProtection algorithmName="SHA-512" hashValue="oGQCfBGVtB4JY3woNhoTlh8ZyrXAomGpTgS7WWX7P1DsJ6LkQg+JrSTSc3ppSU9ceCKX5GkfoSEIFcm8ZJ+6Og==" saltValue="VaypH98gfAT4TIU7ppsURA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G12" sqref="G12"/>
    </sheetView>
  </sheetViews>
  <sheetFormatPr baseColWidth="10" defaultRowHeight="12.75" x14ac:dyDescent="0.2"/>
  <cols>
    <col min="2" max="2" width="26" customWidth="1"/>
    <col min="6" max="6" width="11.42578125" style="43" customWidth="1"/>
    <col min="7" max="7" width="13" customWidth="1"/>
  </cols>
  <sheetData>
    <row r="1" spans="1:7" ht="20.25" x14ac:dyDescent="0.3">
      <c r="A1" s="26" t="s">
        <v>43</v>
      </c>
      <c r="B1" s="26"/>
      <c r="C1" s="26"/>
      <c r="D1" s="26"/>
      <c r="E1" s="26"/>
      <c r="F1" s="42"/>
    </row>
    <row r="2" spans="1:7" ht="13.5" thickBot="1" x14ac:dyDescent="0.25">
      <c r="A2" s="73" t="str">
        <f>Aufbauphase!A2</f>
        <v xml:space="preserve">Variante: ÖLN mit Mechanisierung, Beitrag 45.-/Baum ÖQV </v>
      </c>
      <c r="B2" s="73"/>
      <c r="C2" s="73"/>
      <c r="D2" s="73"/>
      <c r="E2" s="73"/>
      <c r="F2" s="80"/>
    </row>
    <row r="3" spans="1:7" ht="13.5" thickBot="1" x14ac:dyDescent="0.25">
      <c r="A3" s="3"/>
      <c r="B3" s="3"/>
      <c r="C3" s="3" t="s">
        <v>73</v>
      </c>
      <c r="D3" s="3" t="s">
        <v>1</v>
      </c>
      <c r="E3" s="3" t="s">
        <v>2</v>
      </c>
      <c r="F3" s="44" t="s">
        <v>44</v>
      </c>
    </row>
    <row r="4" spans="1:7" ht="13.5" thickBot="1" x14ac:dyDescent="0.25">
      <c r="A4" t="str">
        <f>Erstellung!A34</f>
        <v>Total Erstellungskosten (Anlage ohne Zaun)</v>
      </c>
      <c r="C4" s="6"/>
      <c r="D4" s="6">
        <v>1</v>
      </c>
      <c r="E4" s="7">
        <f>Erstellung!F34</f>
        <v>14636</v>
      </c>
      <c r="F4" s="45">
        <f>E4</f>
        <v>14636</v>
      </c>
    </row>
    <row r="5" spans="1:7" ht="13.5" thickBot="1" x14ac:dyDescent="0.25">
      <c r="C5" s="6"/>
      <c r="D5" s="6"/>
      <c r="E5" s="6"/>
      <c r="F5" s="45"/>
    </row>
    <row r="6" spans="1:7" ht="13.5" thickBot="1" x14ac:dyDescent="0.25">
      <c r="A6" t="str">
        <f>Aufbauphase!A49</f>
        <v>Total Bildung Obstanlagewert / Jahr</v>
      </c>
      <c r="C6" s="6">
        <v>15</v>
      </c>
      <c r="D6" s="6">
        <v>1</v>
      </c>
      <c r="E6" s="8">
        <f>Aufbauphase!G49</f>
        <v>11085.52</v>
      </c>
      <c r="F6" s="45">
        <f>C6*E6</f>
        <v>166282.80000000002</v>
      </c>
    </row>
    <row r="7" spans="1:7" ht="13.5" thickBot="1" x14ac:dyDescent="0.25">
      <c r="C7" s="6"/>
      <c r="D7" s="6"/>
      <c r="E7" s="6"/>
      <c r="F7" s="45"/>
    </row>
    <row r="8" spans="1:7" ht="13.5" thickBot="1" x14ac:dyDescent="0.25">
      <c r="A8" s="6" t="s">
        <v>45</v>
      </c>
      <c r="B8" s="6"/>
      <c r="C8" s="6"/>
      <c r="D8" s="6"/>
      <c r="E8" s="6"/>
      <c r="F8" s="45">
        <f>F6+F4</f>
        <v>180918.80000000002</v>
      </c>
    </row>
    <row r="10" spans="1:7" x14ac:dyDescent="0.2">
      <c r="A10" t="s">
        <v>46</v>
      </c>
    </row>
    <row r="11" spans="1:7" ht="13.5" thickBot="1" x14ac:dyDescent="0.25"/>
    <row r="12" spans="1:7" ht="13.5" thickBot="1" x14ac:dyDescent="0.25">
      <c r="A12" t="s">
        <v>47</v>
      </c>
      <c r="C12" s="6">
        <v>15</v>
      </c>
      <c r="D12" s="6">
        <v>12000</v>
      </c>
      <c r="E12" s="6">
        <v>0.32600000000000001</v>
      </c>
      <c r="F12" s="45">
        <f>C12*D12*E12</f>
        <v>58680</v>
      </c>
      <c r="G12" t="s">
        <v>151</v>
      </c>
    </row>
    <row r="13" spans="1:7" ht="13.5" thickBot="1" x14ac:dyDescent="0.25">
      <c r="C13" s="6"/>
      <c r="D13" s="6"/>
      <c r="E13" s="6"/>
      <c r="F13" s="45"/>
    </row>
    <row r="14" spans="1:7" ht="13.5" thickBot="1" x14ac:dyDescent="0.25">
      <c r="A14" t="s">
        <v>108</v>
      </c>
      <c r="C14" s="6">
        <v>15</v>
      </c>
      <c r="D14" s="6">
        <v>120</v>
      </c>
      <c r="E14" s="6">
        <v>45</v>
      </c>
      <c r="F14" s="45">
        <f>C14*D14*E14</f>
        <v>81000</v>
      </c>
    </row>
    <row r="15" spans="1:7" ht="13.5" thickBot="1" x14ac:dyDescent="0.25">
      <c r="C15" s="6"/>
      <c r="D15" s="6"/>
      <c r="E15" s="6"/>
      <c r="F15" s="45"/>
    </row>
    <row r="16" spans="1:7" ht="13.5" thickBot="1" x14ac:dyDescent="0.25">
      <c r="A16" t="s">
        <v>48</v>
      </c>
      <c r="C16" s="6">
        <v>15</v>
      </c>
      <c r="D16" s="6">
        <v>1</v>
      </c>
      <c r="E16" s="104">
        <v>600</v>
      </c>
      <c r="F16" s="45">
        <f>C16*D16*E16</f>
        <v>9000</v>
      </c>
    </row>
    <row r="17" spans="1:8" ht="13.5" thickBot="1" x14ac:dyDescent="0.25">
      <c r="C17" s="6"/>
      <c r="D17" s="6"/>
      <c r="E17" s="6"/>
      <c r="F17" s="45"/>
    </row>
    <row r="18" spans="1:8" ht="13.5" thickBot="1" x14ac:dyDescent="0.25">
      <c r="A18" s="6" t="s">
        <v>76</v>
      </c>
      <c r="B18" s="19"/>
      <c r="C18" s="6"/>
      <c r="D18" s="6"/>
      <c r="E18" s="6"/>
      <c r="F18" s="45">
        <f>F12+F14+F16</f>
        <v>148680</v>
      </c>
    </row>
    <row r="19" spans="1:8" ht="13.5" thickBot="1" x14ac:dyDescent="0.25">
      <c r="C19" s="6"/>
      <c r="D19" s="6"/>
      <c r="E19" s="6"/>
      <c r="F19" s="45"/>
    </row>
    <row r="20" spans="1:8" ht="13.5" thickBot="1" x14ac:dyDescent="0.25">
      <c r="A20" s="46" t="s">
        <v>49</v>
      </c>
      <c r="B20" s="47"/>
      <c r="C20" s="47"/>
      <c r="D20" s="47"/>
      <c r="E20" s="47"/>
      <c r="F20" s="48">
        <f>F8-F18</f>
        <v>32238.800000000017</v>
      </c>
    </row>
    <row r="21" spans="1:8" x14ac:dyDescent="0.2">
      <c r="C21" s="86" t="s">
        <v>92</v>
      </c>
      <c r="D21" s="86"/>
      <c r="E21" s="86"/>
      <c r="F21" s="87">
        <v>30</v>
      </c>
      <c r="G21" s="86" t="s">
        <v>93</v>
      </c>
      <c r="H21" s="86"/>
    </row>
    <row r="23" spans="1:8" x14ac:dyDescent="0.2">
      <c r="C23" t="s">
        <v>94</v>
      </c>
      <c r="F23" s="43">
        <f>Erstellung!D30+(15*Aufbauphase!E41)</f>
        <v>2093</v>
      </c>
      <c r="G23" t="s">
        <v>95</v>
      </c>
    </row>
    <row r="25" spans="1:8" x14ac:dyDescent="0.2">
      <c r="C25" s="88" t="s">
        <v>96</v>
      </c>
      <c r="D25" s="89"/>
      <c r="E25" s="89"/>
      <c r="F25" s="90">
        <f>F21-(F20/F23)</f>
        <v>14.596846631629232</v>
      </c>
      <c r="G25" s="91" t="s">
        <v>97</v>
      </c>
    </row>
  </sheetData>
  <sheetProtection algorithmName="SHA-512" hashValue="adwxeinTN/PSZ1lG2cSEYfdIAUE9bHdgt0hYW5l/7/s4yT0Q3VIKIqppHCrmDNusSYTB9q0i8Ku1leHFziJPDA==" saltValue="Dwba/3vC8OD/SaGrBoqS/A==" spinCount="100000" sheet="1" objects="1" scenarios="1"/>
  <phoneticPr fontId="8" type="noConversion"/>
  <pageMargins left="0.53" right="0.43" top="0.984251969" bottom="0.984251969" header="0.4921259845" footer="0.4921259845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opLeftCell="A62" zoomScale="90" zoomScaleNormal="90" workbookViewId="0">
      <selection activeCell="B109" sqref="B109"/>
    </sheetView>
  </sheetViews>
  <sheetFormatPr baseColWidth="10" defaultRowHeight="12.75" x14ac:dyDescent="0.2"/>
  <cols>
    <col min="2" max="2" width="35.140625" customWidth="1"/>
    <col min="4" max="4" width="11.42578125" customWidth="1"/>
  </cols>
  <sheetData>
    <row r="1" spans="1:8" ht="23.25" x14ac:dyDescent="0.35">
      <c r="A1" s="49" t="s">
        <v>50</v>
      </c>
      <c r="B1" s="50"/>
      <c r="C1" s="50"/>
      <c r="D1" s="50"/>
      <c r="E1" s="50"/>
      <c r="F1" s="50"/>
      <c r="G1" s="50"/>
    </row>
    <row r="2" spans="1:8" x14ac:dyDescent="0.2">
      <c r="A2" s="73" t="str">
        <f>'kalk.Verlust Aufbau'!A2</f>
        <v xml:space="preserve">Variante: ÖLN mit Mechanisierung, Beitrag 45.-/Baum ÖQV </v>
      </c>
      <c r="B2" s="73"/>
      <c r="C2" s="73"/>
      <c r="D2" s="73"/>
      <c r="E2" s="73"/>
      <c r="F2" s="73"/>
      <c r="G2" s="83"/>
    </row>
    <row r="3" spans="1:8" x14ac:dyDescent="0.2">
      <c r="A3" s="29" t="s">
        <v>51</v>
      </c>
      <c r="B3" s="29"/>
      <c r="C3" s="29"/>
      <c r="D3" s="29"/>
      <c r="E3" s="29" t="s">
        <v>1</v>
      </c>
      <c r="F3" s="29" t="s">
        <v>2</v>
      </c>
      <c r="G3" s="31" t="s">
        <v>3</v>
      </c>
    </row>
    <row r="4" spans="1:8" x14ac:dyDescent="0.2">
      <c r="A4" s="35"/>
      <c r="B4" s="35"/>
      <c r="C4" s="35"/>
      <c r="D4" s="35"/>
      <c r="E4" s="35"/>
      <c r="F4" s="35"/>
      <c r="G4" s="51"/>
    </row>
    <row r="5" spans="1:8" x14ac:dyDescent="0.2">
      <c r="A5" s="47" t="s">
        <v>52</v>
      </c>
      <c r="B5" s="47"/>
      <c r="C5" s="47"/>
      <c r="D5" s="47"/>
      <c r="E5" s="47">
        <v>36000</v>
      </c>
      <c r="F5" s="47">
        <v>0.32600000000000001</v>
      </c>
      <c r="G5" s="52">
        <f>E5*F5</f>
        <v>11736</v>
      </c>
      <c r="H5" t="s">
        <v>151</v>
      </c>
    </row>
    <row r="6" spans="1:8" x14ac:dyDescent="0.2">
      <c r="A6" s="47"/>
      <c r="B6" s="47"/>
      <c r="C6" s="47"/>
      <c r="D6" s="47"/>
      <c r="E6" s="47"/>
      <c r="F6" s="47"/>
      <c r="G6" s="52"/>
    </row>
    <row r="7" spans="1:8" s="35" customFormat="1" x14ac:dyDescent="0.2">
      <c r="A7" s="53" t="s">
        <v>53</v>
      </c>
      <c r="G7" s="51">
        <f>G5+G6</f>
        <v>11736</v>
      </c>
    </row>
    <row r="8" spans="1:8" s="35" customFormat="1" x14ac:dyDescent="0.2">
      <c r="G8" s="51"/>
    </row>
    <row r="9" spans="1:8" x14ac:dyDescent="0.2">
      <c r="A9" s="19" t="s">
        <v>54</v>
      </c>
      <c r="B9" s="19"/>
      <c r="C9" s="19"/>
      <c r="D9" s="19" t="s">
        <v>55</v>
      </c>
      <c r="E9" s="93">
        <v>40</v>
      </c>
      <c r="F9" s="54">
        <f>'kalk.Verlust Aufbau'!F20</f>
        <v>32238.800000000017</v>
      </c>
      <c r="G9" s="34">
        <f>F9/E9</f>
        <v>805.97000000000048</v>
      </c>
    </row>
    <row r="10" spans="1:8" x14ac:dyDescent="0.2">
      <c r="A10" s="35"/>
      <c r="B10" s="35"/>
      <c r="C10" s="35"/>
      <c r="D10" s="35"/>
      <c r="E10" s="35"/>
      <c r="F10" s="35"/>
      <c r="G10" s="51"/>
    </row>
    <row r="11" spans="1:8" x14ac:dyDescent="0.2">
      <c r="B11" t="s">
        <v>27</v>
      </c>
      <c r="C11" t="s">
        <v>102</v>
      </c>
      <c r="D11" s="19">
        <v>1</v>
      </c>
      <c r="E11" s="19">
        <v>1.5</v>
      </c>
      <c r="F11" s="33">
        <f>Aufbauphase!F4</f>
        <v>64</v>
      </c>
      <c r="G11" s="34">
        <f>D11*E11*F11</f>
        <v>96</v>
      </c>
    </row>
    <row r="12" spans="1:8" x14ac:dyDescent="0.2">
      <c r="C12" t="s">
        <v>28</v>
      </c>
      <c r="D12" s="19">
        <v>2</v>
      </c>
      <c r="E12" s="19">
        <v>1.5</v>
      </c>
      <c r="F12" s="33">
        <v>40</v>
      </c>
      <c r="G12" s="34">
        <f t="shared" ref="G12:G18" si="0">D12*E12*F12</f>
        <v>120</v>
      </c>
    </row>
    <row r="13" spans="1:8" x14ac:dyDescent="0.2">
      <c r="C13" t="s">
        <v>103</v>
      </c>
      <c r="D13" s="19">
        <v>2</v>
      </c>
      <c r="E13" s="19">
        <v>1.5</v>
      </c>
      <c r="F13" s="33">
        <v>50</v>
      </c>
      <c r="G13" s="34">
        <f t="shared" si="0"/>
        <v>150</v>
      </c>
    </row>
    <row r="14" spans="1:8" x14ac:dyDescent="0.2">
      <c r="C14" t="s">
        <v>82</v>
      </c>
      <c r="D14" s="19">
        <v>4</v>
      </c>
      <c r="E14" s="19">
        <v>1.5</v>
      </c>
      <c r="F14" s="33">
        <v>65</v>
      </c>
      <c r="G14" s="34">
        <f>D14*E14*F14</f>
        <v>390</v>
      </c>
    </row>
    <row r="15" spans="1:8" x14ac:dyDescent="0.2">
      <c r="C15" t="s">
        <v>104</v>
      </c>
      <c r="D15" s="19">
        <v>4</v>
      </c>
      <c r="E15" s="19">
        <v>1.5</v>
      </c>
      <c r="F15" s="33">
        <v>20</v>
      </c>
      <c r="G15" s="34">
        <f t="shared" si="0"/>
        <v>120</v>
      </c>
    </row>
    <row r="16" spans="1:8" x14ac:dyDescent="0.2">
      <c r="B16" t="s">
        <v>29</v>
      </c>
      <c r="C16" t="s">
        <v>105</v>
      </c>
      <c r="D16" s="19">
        <v>1</v>
      </c>
      <c r="E16" s="19">
        <v>1.5</v>
      </c>
      <c r="F16" s="33">
        <v>150</v>
      </c>
      <c r="G16" s="34">
        <f t="shared" si="0"/>
        <v>225</v>
      </c>
    </row>
    <row r="17" spans="1:8" x14ac:dyDescent="0.2">
      <c r="C17" t="s">
        <v>30</v>
      </c>
      <c r="D17" s="19">
        <v>1</v>
      </c>
      <c r="E17" s="19">
        <v>1.5</v>
      </c>
      <c r="F17" s="33">
        <v>62</v>
      </c>
      <c r="G17" s="34">
        <f t="shared" si="0"/>
        <v>93</v>
      </c>
    </row>
    <row r="18" spans="1:8" x14ac:dyDescent="0.2">
      <c r="C18" t="s">
        <v>106</v>
      </c>
      <c r="D18" s="19">
        <v>2</v>
      </c>
      <c r="E18" s="19">
        <v>1.5</v>
      </c>
      <c r="F18" s="33">
        <v>138</v>
      </c>
      <c r="G18" s="34">
        <f t="shared" si="0"/>
        <v>414</v>
      </c>
    </row>
    <row r="19" spans="1:8" x14ac:dyDescent="0.2">
      <c r="A19" s="19" t="s">
        <v>31</v>
      </c>
      <c r="B19" s="19"/>
      <c r="C19" s="19"/>
      <c r="D19" s="19">
        <v>5</v>
      </c>
      <c r="E19" s="19"/>
      <c r="F19" s="19"/>
      <c r="G19" s="34">
        <f>SUM(G11:G18)</f>
        <v>1608</v>
      </c>
    </row>
    <row r="20" spans="1:8" x14ac:dyDescent="0.2">
      <c r="A20" s="35" t="s">
        <v>134</v>
      </c>
      <c r="B20" s="35"/>
      <c r="C20" s="35"/>
      <c r="D20" s="93">
        <v>4</v>
      </c>
      <c r="E20" s="93">
        <v>100</v>
      </c>
      <c r="F20" s="94">
        <v>75</v>
      </c>
      <c r="G20" s="95">
        <f>D20*E20*F20/100</f>
        <v>300</v>
      </c>
    </row>
    <row r="21" spans="1:8" x14ac:dyDescent="0.2">
      <c r="A21" s="35" t="s">
        <v>152</v>
      </c>
      <c r="B21" s="35"/>
      <c r="C21" s="35"/>
      <c r="D21" s="93">
        <v>4</v>
      </c>
      <c r="E21" s="93">
        <v>1.5</v>
      </c>
      <c r="F21" s="94">
        <v>19.5</v>
      </c>
      <c r="G21" s="95">
        <f>D21*E21*F21</f>
        <v>117</v>
      </c>
    </row>
    <row r="22" spans="1:8" x14ac:dyDescent="0.2">
      <c r="A22" t="s">
        <v>121</v>
      </c>
      <c r="C22" s="32"/>
      <c r="D22" s="19"/>
      <c r="E22" s="19"/>
      <c r="F22" s="19"/>
      <c r="G22" s="34">
        <v>700</v>
      </c>
    </row>
    <row r="23" spans="1:8" x14ac:dyDescent="0.2">
      <c r="A23" s="92" t="s">
        <v>110</v>
      </c>
      <c r="C23" s="32"/>
      <c r="D23" s="19"/>
      <c r="E23" s="19">
        <v>0.2</v>
      </c>
      <c r="F23" s="34">
        <f>Erstellung!F11</f>
        <v>70</v>
      </c>
      <c r="G23" s="34">
        <f>E23*F23</f>
        <v>14</v>
      </c>
    </row>
    <row r="24" spans="1:8" x14ac:dyDescent="0.2">
      <c r="D24" s="19"/>
      <c r="E24" s="19"/>
      <c r="F24" s="19"/>
      <c r="G24" s="34"/>
    </row>
    <row r="25" spans="1:8" x14ac:dyDescent="0.2">
      <c r="A25" s="36" t="s">
        <v>32</v>
      </c>
      <c r="B25" s="36"/>
      <c r="C25" s="36"/>
      <c r="D25" s="36"/>
      <c r="E25" s="36"/>
      <c r="F25" s="36"/>
      <c r="G25" s="37">
        <f>G19+G20+G21+G22+G9+G23</f>
        <v>3544.9700000000003</v>
      </c>
    </row>
    <row r="26" spans="1:8" x14ac:dyDescent="0.2">
      <c r="F26" s="2"/>
      <c r="G26" s="2"/>
    </row>
    <row r="27" spans="1:8" x14ac:dyDescent="0.2">
      <c r="A27" s="55" t="s">
        <v>56</v>
      </c>
      <c r="F27" s="2"/>
      <c r="G27" s="56">
        <f>G7-G25</f>
        <v>8191.03</v>
      </c>
    </row>
    <row r="28" spans="1:8" ht="13.5" thickBot="1" x14ac:dyDescent="0.25">
      <c r="F28" s="2"/>
      <c r="G28" s="2"/>
    </row>
    <row r="29" spans="1:8" ht="13.5" thickBot="1" x14ac:dyDescent="0.25">
      <c r="A29" s="3"/>
      <c r="B29" s="3"/>
      <c r="C29" s="3"/>
      <c r="D29" s="3" t="s">
        <v>77</v>
      </c>
      <c r="E29" s="3" t="s">
        <v>74</v>
      </c>
      <c r="F29" s="3" t="str">
        <f>F3</f>
        <v>Preis</v>
      </c>
      <c r="G29" s="3" t="str">
        <f>G3</f>
        <v>Fr.-/ha</v>
      </c>
    </row>
    <row r="30" spans="1:8" ht="13.5" thickBot="1" x14ac:dyDescent="0.25">
      <c r="A30" t="s">
        <v>13</v>
      </c>
      <c r="B30" t="s">
        <v>137</v>
      </c>
      <c r="D30">
        <v>5</v>
      </c>
      <c r="E30" s="104">
        <v>2.5</v>
      </c>
      <c r="F30" s="103">
        <v>37</v>
      </c>
      <c r="G30" s="103">
        <f>D30*E30*F30</f>
        <v>462.5</v>
      </c>
    </row>
    <row r="31" spans="1:8" ht="13.5" thickBot="1" x14ac:dyDescent="0.25">
      <c r="B31" t="s">
        <v>125</v>
      </c>
      <c r="C31" s="35"/>
      <c r="D31" s="35"/>
      <c r="E31" s="104">
        <v>20</v>
      </c>
      <c r="F31" s="103">
        <v>38</v>
      </c>
      <c r="G31" s="103">
        <f t="shared" ref="G31:G38" si="1">E31*F31</f>
        <v>760</v>
      </c>
      <c r="H31" t="s">
        <v>153</v>
      </c>
    </row>
    <row r="32" spans="1:8" ht="13.5" thickBot="1" x14ac:dyDescent="0.25">
      <c r="B32" s="105" t="s">
        <v>117</v>
      </c>
      <c r="C32" s="35"/>
      <c r="D32" s="35"/>
      <c r="E32" s="104">
        <v>15</v>
      </c>
      <c r="F32" s="103">
        <v>15</v>
      </c>
      <c r="G32" s="103">
        <f t="shared" si="1"/>
        <v>225</v>
      </c>
    </row>
    <row r="33" spans="1:8" ht="13.5" thickBot="1" x14ac:dyDescent="0.25">
      <c r="B33" s="105" t="s">
        <v>109</v>
      </c>
      <c r="C33" s="35"/>
      <c r="D33" s="35"/>
      <c r="E33" s="104">
        <v>4</v>
      </c>
      <c r="F33" s="103">
        <v>42</v>
      </c>
      <c r="G33" s="103">
        <f t="shared" si="1"/>
        <v>168</v>
      </c>
    </row>
    <row r="34" spans="1:8" ht="13.5" thickBot="1" x14ac:dyDescent="0.25">
      <c r="B34" t="s">
        <v>146</v>
      </c>
      <c r="E34" s="6">
        <v>50</v>
      </c>
      <c r="F34" s="7">
        <v>19</v>
      </c>
      <c r="G34" s="103">
        <f t="shared" si="1"/>
        <v>950</v>
      </c>
    </row>
    <row r="35" spans="1:8" ht="13.5" thickBot="1" x14ac:dyDescent="0.25">
      <c r="B35" t="s">
        <v>139</v>
      </c>
      <c r="E35" s="6">
        <v>8</v>
      </c>
      <c r="F35" s="7">
        <v>55</v>
      </c>
      <c r="G35" s="103">
        <f t="shared" si="1"/>
        <v>440</v>
      </c>
    </row>
    <row r="36" spans="1:8" ht="13.5" thickBot="1" x14ac:dyDescent="0.25">
      <c r="B36" t="s">
        <v>114</v>
      </c>
      <c r="E36" s="6">
        <v>24</v>
      </c>
      <c r="F36" s="8">
        <v>42</v>
      </c>
      <c r="G36" s="103">
        <f t="shared" si="1"/>
        <v>1008</v>
      </c>
    </row>
    <row r="37" spans="1:8" ht="13.5" thickBot="1" x14ac:dyDescent="0.25">
      <c r="B37" t="s">
        <v>90</v>
      </c>
      <c r="E37" s="6">
        <v>24</v>
      </c>
      <c r="F37" s="8">
        <v>20</v>
      </c>
      <c r="G37" s="8">
        <f t="shared" si="1"/>
        <v>480</v>
      </c>
      <c r="H37" t="s">
        <v>154</v>
      </c>
    </row>
    <row r="38" spans="1:8" ht="13.5" thickBot="1" x14ac:dyDescent="0.25">
      <c r="A38" t="s">
        <v>14</v>
      </c>
      <c r="B38" t="s">
        <v>128</v>
      </c>
      <c r="E38" s="6">
        <f>D30*E30+E31+E35+E33</f>
        <v>44.5</v>
      </c>
      <c r="F38" s="7">
        <v>45</v>
      </c>
      <c r="G38" s="8">
        <f t="shared" si="1"/>
        <v>2002.5</v>
      </c>
    </row>
    <row r="39" spans="1:8" ht="13.5" thickBot="1" x14ac:dyDescent="0.25">
      <c r="A39" t="s">
        <v>15</v>
      </c>
      <c r="E39" s="6"/>
      <c r="F39" s="6"/>
      <c r="G39" s="8">
        <v>300</v>
      </c>
    </row>
    <row r="40" spans="1:8" ht="13.5" thickBot="1" x14ac:dyDescent="0.25">
      <c r="E40" s="6"/>
      <c r="F40" s="6"/>
      <c r="G40" s="8"/>
    </row>
    <row r="41" spans="1:8" ht="13.5" thickBot="1" x14ac:dyDescent="0.25">
      <c r="A41" s="57" t="s">
        <v>16</v>
      </c>
      <c r="B41" s="57"/>
      <c r="C41" s="57"/>
      <c r="D41" s="57"/>
      <c r="E41" s="58"/>
      <c r="F41" s="59"/>
      <c r="G41" s="59">
        <f>SUM(G30:G39)</f>
        <v>6796</v>
      </c>
    </row>
    <row r="42" spans="1:8" ht="13.5" thickBot="1" x14ac:dyDescent="0.25">
      <c r="A42" s="21"/>
      <c r="B42" s="21"/>
      <c r="C42" s="21"/>
      <c r="D42" s="21"/>
      <c r="E42" s="38"/>
      <c r="F42" s="11"/>
      <c r="G42" s="11"/>
    </row>
    <row r="43" spans="1:8" ht="13.5" thickBot="1" x14ac:dyDescent="0.25">
      <c r="A43" s="106" t="s">
        <v>17</v>
      </c>
      <c r="B43" s="106"/>
      <c r="C43" s="106"/>
      <c r="D43" s="106"/>
      <c r="E43" s="107"/>
      <c r="F43" s="108"/>
      <c r="G43" s="108">
        <v>709</v>
      </c>
    </row>
    <row r="44" spans="1:8" ht="13.5" thickBot="1" x14ac:dyDescent="0.25">
      <c r="A44" s="60" t="s">
        <v>57</v>
      </c>
      <c r="B44" s="60"/>
      <c r="C44" s="60"/>
      <c r="D44" s="60"/>
      <c r="E44" s="58"/>
      <c r="F44" s="59"/>
      <c r="G44" s="59">
        <v>80</v>
      </c>
    </row>
    <row r="45" spans="1:8" ht="13.5" thickBot="1" x14ac:dyDescent="0.25">
      <c r="A45" s="60" t="s">
        <v>58</v>
      </c>
      <c r="B45" s="60"/>
      <c r="C45" s="60"/>
      <c r="D45" s="60"/>
      <c r="E45" s="61">
        <v>360</v>
      </c>
      <c r="F45" s="62">
        <v>1</v>
      </c>
      <c r="G45" s="59">
        <f>E45*F45</f>
        <v>360</v>
      </c>
    </row>
    <row r="46" spans="1:8" ht="12.75" customHeight="1" thickBot="1" x14ac:dyDescent="0.25">
      <c r="A46" s="84" t="s">
        <v>83</v>
      </c>
      <c r="B46" s="19"/>
      <c r="C46" s="19"/>
      <c r="D46" s="19"/>
      <c r="E46" s="63"/>
      <c r="F46" s="64"/>
      <c r="G46" s="85">
        <v>800</v>
      </c>
    </row>
    <row r="47" spans="1:8" ht="12.75" customHeight="1" thickBot="1" x14ac:dyDescent="0.25">
      <c r="A47" s="109" t="s">
        <v>59</v>
      </c>
      <c r="B47" s="109"/>
      <c r="C47" s="109"/>
      <c r="D47" s="109"/>
      <c r="E47" s="110">
        <v>0.02</v>
      </c>
      <c r="F47" s="111">
        <f>G25</f>
        <v>3544.9700000000003</v>
      </c>
      <c r="G47" s="112">
        <f>E47*F47</f>
        <v>70.8994</v>
      </c>
    </row>
    <row r="48" spans="1:8" ht="12.75" customHeight="1" thickBot="1" x14ac:dyDescent="0.25">
      <c r="E48" s="6"/>
      <c r="F48" s="8"/>
      <c r="G48" s="8"/>
    </row>
    <row r="49" spans="1:7" ht="12.75" customHeight="1" x14ac:dyDescent="0.2">
      <c r="A49" s="55" t="s">
        <v>60</v>
      </c>
      <c r="B49" s="55"/>
      <c r="C49" s="55"/>
      <c r="D49" s="55"/>
      <c r="E49" s="55"/>
      <c r="F49" s="56"/>
      <c r="G49" s="56">
        <f>G27-G41-G43-G44-G45-G46-G47</f>
        <v>-624.86940000000027</v>
      </c>
    </row>
    <row r="50" spans="1:7" ht="12.75" customHeight="1" thickBot="1" x14ac:dyDescent="0.25">
      <c r="A50" s="55"/>
      <c r="B50" s="55"/>
      <c r="C50" s="55"/>
      <c r="D50" s="55"/>
      <c r="E50" s="55"/>
      <c r="F50" s="56"/>
      <c r="G50" s="56"/>
    </row>
    <row r="51" spans="1:7" ht="12.75" customHeight="1" thickBot="1" x14ac:dyDescent="0.25">
      <c r="A51" s="65" t="s">
        <v>99</v>
      </c>
      <c r="B51" s="65"/>
      <c r="C51" s="65"/>
      <c r="D51" s="65"/>
      <c r="E51" s="63">
        <v>120</v>
      </c>
      <c r="F51" s="64">
        <v>45</v>
      </c>
      <c r="G51" s="66">
        <f>E51*F51</f>
        <v>5400</v>
      </c>
    </row>
    <row r="52" spans="1:7" ht="12.75" customHeight="1" thickBot="1" x14ac:dyDescent="0.25">
      <c r="A52" s="65" t="s">
        <v>111</v>
      </c>
      <c r="B52" s="65"/>
      <c r="C52" s="65"/>
      <c r="D52" s="65"/>
      <c r="E52" s="63">
        <v>1</v>
      </c>
      <c r="F52" s="64">
        <v>600</v>
      </c>
      <c r="G52" s="66">
        <f>E52*F52</f>
        <v>600</v>
      </c>
    </row>
    <row r="53" spans="1:7" ht="12.75" customHeight="1" x14ac:dyDescent="0.2">
      <c r="E53" s="9"/>
      <c r="F53" s="11"/>
      <c r="G53" s="11"/>
    </row>
    <row r="54" spans="1:7" ht="12.75" customHeight="1" x14ac:dyDescent="0.2">
      <c r="A54" s="55" t="s">
        <v>61</v>
      </c>
      <c r="B54" s="55"/>
      <c r="E54" s="21"/>
      <c r="F54" s="67"/>
      <c r="G54" s="68">
        <f>G49+G51+G52</f>
        <v>5375.1305999999995</v>
      </c>
    </row>
    <row r="55" spans="1:7" ht="12.75" customHeight="1" thickBot="1" x14ac:dyDescent="0.25">
      <c r="E55" s="15"/>
      <c r="F55" s="17"/>
      <c r="G55" s="17"/>
    </row>
    <row r="56" spans="1:7" ht="13.5" thickBot="1" x14ac:dyDescent="0.25">
      <c r="A56" s="69" t="s">
        <v>18</v>
      </c>
      <c r="B56" t="s">
        <v>107</v>
      </c>
      <c r="E56" s="6">
        <v>50</v>
      </c>
      <c r="F56" s="8">
        <v>30</v>
      </c>
      <c r="G56" s="8">
        <f t="shared" ref="G56:G69" si="2">E56*F56</f>
        <v>1500</v>
      </c>
    </row>
    <row r="57" spans="1:7" ht="13.5" thickBot="1" x14ac:dyDescent="0.25">
      <c r="B57" t="s">
        <v>62</v>
      </c>
      <c r="E57" s="6">
        <v>5</v>
      </c>
      <c r="F57" s="8">
        <v>30</v>
      </c>
      <c r="G57" s="8">
        <f t="shared" si="2"/>
        <v>150</v>
      </c>
    </row>
    <row r="58" spans="1:7" ht="13.5" thickBot="1" x14ac:dyDescent="0.25">
      <c r="B58" t="s">
        <v>63</v>
      </c>
      <c r="E58" s="6">
        <v>24</v>
      </c>
      <c r="F58" s="8">
        <v>30</v>
      </c>
      <c r="G58" s="8">
        <f t="shared" si="2"/>
        <v>720</v>
      </c>
    </row>
    <row r="59" spans="1:7" ht="13.5" thickBot="1" x14ac:dyDescent="0.25">
      <c r="B59" t="s">
        <v>64</v>
      </c>
      <c r="E59" s="6">
        <v>15</v>
      </c>
      <c r="F59" s="8">
        <v>30</v>
      </c>
      <c r="G59" s="8">
        <f t="shared" si="2"/>
        <v>450</v>
      </c>
    </row>
    <row r="60" spans="1:7" ht="13.5" thickBot="1" x14ac:dyDescent="0.25">
      <c r="B60" t="s">
        <v>65</v>
      </c>
      <c r="E60" s="6">
        <v>5</v>
      </c>
      <c r="F60" s="8">
        <v>30</v>
      </c>
      <c r="G60" s="8">
        <f t="shared" si="2"/>
        <v>150</v>
      </c>
    </row>
    <row r="61" spans="1:7" ht="13.5" thickBot="1" x14ac:dyDescent="0.25">
      <c r="B61" t="s">
        <v>33</v>
      </c>
      <c r="E61" s="6">
        <v>15</v>
      </c>
      <c r="F61" s="8">
        <v>30</v>
      </c>
      <c r="G61" s="8">
        <f t="shared" si="2"/>
        <v>450</v>
      </c>
    </row>
    <row r="62" spans="1:7" ht="13.5" thickBot="1" x14ac:dyDescent="0.25">
      <c r="B62" t="s">
        <v>34</v>
      </c>
      <c r="E62" s="6">
        <v>21</v>
      </c>
      <c r="F62" s="8">
        <v>30</v>
      </c>
      <c r="G62" s="8">
        <f t="shared" si="2"/>
        <v>630</v>
      </c>
    </row>
    <row r="63" spans="1:7" ht="13.5" thickBot="1" x14ac:dyDescent="0.25">
      <c r="B63" t="s">
        <v>112</v>
      </c>
      <c r="E63" s="6">
        <v>10</v>
      </c>
      <c r="F63" s="8">
        <v>30</v>
      </c>
      <c r="G63" s="8">
        <f t="shared" si="2"/>
        <v>300</v>
      </c>
    </row>
    <row r="64" spans="1:7" ht="13.5" thickBot="1" x14ac:dyDescent="0.25">
      <c r="B64" t="s">
        <v>66</v>
      </c>
      <c r="E64" s="6">
        <v>20</v>
      </c>
      <c r="F64" s="8">
        <v>30</v>
      </c>
      <c r="G64" s="8">
        <f t="shared" si="2"/>
        <v>600</v>
      </c>
    </row>
    <row r="65" spans="1:7" ht="13.5" thickBot="1" x14ac:dyDescent="0.25">
      <c r="B65" t="s">
        <v>78</v>
      </c>
      <c r="E65" s="6">
        <v>24</v>
      </c>
      <c r="F65" s="8">
        <v>30</v>
      </c>
      <c r="G65" s="8">
        <f>E65*F66</f>
        <v>720</v>
      </c>
    </row>
    <row r="66" spans="1:7" ht="13.5" thickBot="1" x14ac:dyDescent="0.25">
      <c r="B66" t="s">
        <v>91</v>
      </c>
      <c r="E66" s="6">
        <v>24</v>
      </c>
      <c r="F66" s="8">
        <v>30</v>
      </c>
      <c r="G66" s="8">
        <f>E66*F67</f>
        <v>720</v>
      </c>
    </row>
    <row r="67" spans="1:7" ht="13.5" thickBot="1" x14ac:dyDescent="0.25">
      <c r="B67" t="s">
        <v>113</v>
      </c>
      <c r="E67" s="6">
        <v>12</v>
      </c>
      <c r="F67" s="8">
        <v>30</v>
      </c>
      <c r="G67" s="8">
        <f t="shared" si="2"/>
        <v>360</v>
      </c>
    </row>
    <row r="68" spans="1:7" ht="13.5" thickBot="1" x14ac:dyDescent="0.25">
      <c r="B68" t="s">
        <v>67</v>
      </c>
      <c r="E68" s="6">
        <v>15</v>
      </c>
      <c r="F68" s="8">
        <v>30</v>
      </c>
      <c r="G68" s="8">
        <f t="shared" si="2"/>
        <v>450</v>
      </c>
    </row>
    <row r="69" spans="1:7" ht="13.5" thickBot="1" x14ac:dyDescent="0.25">
      <c r="A69" t="s">
        <v>79</v>
      </c>
      <c r="B69" t="s">
        <v>36</v>
      </c>
      <c r="E69" s="6">
        <f>(E56+E57+E58+E59+E60+E62+E61+E63+E64+E65+E66+E67+E68)*0.1</f>
        <v>24</v>
      </c>
      <c r="F69" s="8">
        <v>30</v>
      </c>
      <c r="G69" s="8">
        <f t="shared" si="2"/>
        <v>720</v>
      </c>
    </row>
    <row r="70" spans="1:7" ht="13.5" thickBot="1" x14ac:dyDescent="0.25">
      <c r="E70" s="6"/>
      <c r="F70" s="8"/>
      <c r="G70" s="8"/>
    </row>
    <row r="71" spans="1:7" ht="13.5" thickBot="1" x14ac:dyDescent="0.25">
      <c r="A71" s="57" t="s">
        <v>37</v>
      </c>
      <c r="B71" s="57"/>
      <c r="C71" s="6"/>
      <c r="D71" s="6"/>
      <c r="E71" s="6">
        <f>SUM(E56:E70)</f>
        <v>264</v>
      </c>
      <c r="F71" s="8"/>
      <c r="G71" s="66">
        <f>SUM(G56:G69)</f>
        <v>7920</v>
      </c>
    </row>
    <row r="72" spans="1:7" x14ac:dyDescent="0.2">
      <c r="F72" s="2"/>
      <c r="G72" s="2"/>
    </row>
    <row r="73" spans="1:7" x14ac:dyDescent="0.2">
      <c r="A73" s="29" t="s">
        <v>68</v>
      </c>
      <c r="B73" s="29"/>
      <c r="C73" s="29"/>
      <c r="D73" s="29"/>
      <c r="E73" s="29"/>
      <c r="F73" s="29"/>
      <c r="G73" s="29">
        <f>E71</f>
        <v>264</v>
      </c>
    </row>
    <row r="74" spans="1:7" x14ac:dyDescent="0.2">
      <c r="A74" s="29" t="s">
        <v>69</v>
      </c>
      <c r="B74" s="29"/>
      <c r="C74" s="29"/>
      <c r="D74" s="29"/>
      <c r="E74" s="29"/>
      <c r="F74" s="31"/>
      <c r="G74" s="31">
        <f>E69</f>
        <v>24</v>
      </c>
    </row>
    <row r="75" spans="1:7" x14ac:dyDescent="0.2">
      <c r="A75" s="35"/>
      <c r="B75" s="35"/>
      <c r="C75" s="35"/>
      <c r="D75" s="35"/>
      <c r="E75" s="35"/>
      <c r="F75" s="35"/>
      <c r="G75" s="35"/>
    </row>
    <row r="76" spans="1:7" x14ac:dyDescent="0.2">
      <c r="A76" s="70" t="s">
        <v>70</v>
      </c>
      <c r="B76" s="70"/>
      <c r="C76" s="70"/>
      <c r="D76" s="70"/>
      <c r="E76" s="70"/>
      <c r="F76" s="71"/>
      <c r="G76" s="72">
        <f>G54/G73</f>
        <v>20.36034318181818</v>
      </c>
    </row>
    <row r="78" spans="1:7" x14ac:dyDescent="0.2">
      <c r="A78" s="81" t="s">
        <v>71</v>
      </c>
      <c r="B78" s="81"/>
      <c r="C78" s="81"/>
      <c r="D78" s="81"/>
      <c r="E78" s="81"/>
      <c r="F78" s="81"/>
      <c r="G78" s="82">
        <f>G25+G41+G43+G44+G45+G47+G71</f>
        <v>19480.869400000003</v>
      </c>
    </row>
    <row r="79" spans="1:7" x14ac:dyDescent="0.2">
      <c r="A79" s="81" t="s">
        <v>80</v>
      </c>
      <c r="B79" s="81"/>
      <c r="C79" s="81"/>
      <c r="D79" s="81"/>
      <c r="E79" s="81"/>
      <c r="F79" s="81"/>
      <c r="G79" s="82">
        <f>G7+G51+G52</f>
        <v>17736</v>
      </c>
    </row>
    <row r="80" spans="1:7" x14ac:dyDescent="0.2">
      <c r="A80" s="81" t="s">
        <v>81</v>
      </c>
      <c r="B80" s="81"/>
      <c r="C80" s="81"/>
      <c r="D80" s="81"/>
      <c r="E80" s="81"/>
      <c r="F80" s="81"/>
      <c r="G80" s="82">
        <f>G79-G78</f>
        <v>-1744.8694000000032</v>
      </c>
    </row>
  </sheetData>
  <sheetProtection algorithmName="SHA-512" hashValue="xte1nVnWXNhSSVeL/GbR+oict73tlO+XGJBJiDoPCBcjFIe22fEGxT+UDm/CvjPP5YfPS3BcF6csPL3XmwL06A==" saltValue="xm/HWoEGWNmUuSb+L2sZnA==" spinCount="100000" sheet="1" objects="1" scenarios="1"/>
  <phoneticPr fontId="8" type="noConversion"/>
  <pageMargins left="0.8" right="0.78740157499999996" top="0.47" bottom="0.49" header="0.4921259845" footer="0.4921259845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Erstellung</vt:lpstr>
      <vt:lpstr>Aufbauphase</vt:lpstr>
      <vt:lpstr>kalk.Verlust Aufbau</vt:lpstr>
      <vt:lpstr>Ertragsjahr</vt:lpstr>
    </vt:vector>
  </TitlesOfParts>
  <Company>LBL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Angela Seminara</cp:lastModifiedBy>
  <cp:lastPrinted>2011-03-28T09:33:05Z</cp:lastPrinted>
  <dcterms:created xsi:type="dcterms:W3CDTF">2007-04-10T12:06:29Z</dcterms:created>
  <dcterms:modified xsi:type="dcterms:W3CDTF">2024-10-22T13:27:09Z</dcterms:modified>
</cp:coreProperties>
</file>